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kl13524\OneDrive - University of Bristol\Documents\WHO work\2018 HSV infection estimates\"/>
    </mc:Choice>
  </mc:AlternateContent>
  <xr:revisionPtr revIDLastSave="200" documentId="8_{D352251F-B071-43CB-89E0-677391871705}" xr6:coauthVersionLast="45" xr6:coauthVersionMax="45" xr10:uidLastSave="{216AB114-BA56-43C6-9BFC-FACC20FF58E3}"/>
  <bookViews>
    <workbookView xWindow="-110" yWindow="-110" windowWidth="19420" windowHeight="10420" xr2:uid="{00000000-000D-0000-FFFF-FFFF00000000}"/>
  </bookViews>
  <sheets>
    <sheet name="Prevalence" sheetId="1" r:id="rId1"/>
    <sheet name="Incidence" sheetId="4" r:id="rId2"/>
    <sheet name="read m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4" l="1"/>
  <c r="Q111" i="1"/>
  <c r="Q110" i="1"/>
  <c r="P109" i="1"/>
  <c r="O109" i="1"/>
  <c r="P108" i="1"/>
  <c r="P107" i="1"/>
  <c r="P106" i="1"/>
  <c r="P105" i="1"/>
  <c r="Q104" i="1"/>
  <c r="Q103" i="1"/>
  <c r="N102" i="1"/>
  <c r="O101" i="1"/>
  <c r="Q101" i="1" s="1"/>
  <c r="O89" i="1"/>
  <c r="Q87" i="1"/>
  <c r="Q86" i="1"/>
  <c r="Q85" i="1"/>
  <c r="Q84" i="1"/>
  <c r="Q83" i="1"/>
  <c r="Q82" i="1"/>
  <c r="Q81" i="1"/>
  <c r="N81" i="1"/>
  <c r="Q80" i="1"/>
  <c r="Q79" i="1"/>
  <c r="Q78" i="1"/>
  <c r="Q77" i="1"/>
  <c r="Q76" i="1"/>
  <c r="Q75" i="1"/>
  <c r="Q74" i="1"/>
  <c r="Q73" i="1"/>
  <c r="P72" i="1"/>
  <c r="O72" i="1"/>
  <c r="P71" i="1"/>
  <c r="O71" i="1"/>
  <c r="P70" i="1"/>
  <c r="O70" i="1"/>
  <c r="P69" i="1"/>
  <c r="O69" i="1"/>
  <c r="Q68" i="1"/>
  <c r="Q67" i="1"/>
  <c r="Q65" i="1"/>
  <c r="Q63" i="1"/>
  <c r="P62" i="1"/>
  <c r="P61" i="1"/>
  <c r="O61" i="1"/>
  <c r="Q60" i="1"/>
  <c r="Q59" i="1"/>
  <c r="Q58" i="1"/>
  <c r="Q57" i="1"/>
  <c r="Q56" i="1"/>
  <c r="P55" i="1"/>
  <c r="O55" i="1"/>
  <c r="Q54" i="1"/>
  <c r="Q53" i="1"/>
  <c r="Q52" i="1"/>
  <c r="Q51" i="1"/>
  <c r="Q50" i="1"/>
  <c r="P49" i="1"/>
  <c r="O49" i="1"/>
  <c r="P48" i="1"/>
  <c r="O48" i="1"/>
  <c r="P47" i="1"/>
  <c r="O47" i="1"/>
  <c r="P46" i="1"/>
  <c r="O46" i="1"/>
  <c r="P45" i="1"/>
  <c r="O45" i="1"/>
  <c r="P44" i="1"/>
  <c r="O44" i="1"/>
  <c r="Q41" i="1"/>
  <c r="Q40" i="1"/>
  <c r="Q39" i="1"/>
  <c r="Q38" i="1"/>
  <c r="Q37" i="1"/>
  <c r="P36" i="1"/>
  <c r="P35" i="1"/>
  <c r="P34" i="1"/>
  <c r="P33" i="1"/>
  <c r="O32" i="1"/>
  <c r="O31" i="1"/>
  <c r="Q31" i="1" s="1"/>
  <c r="P30" i="1"/>
  <c r="P29" i="1"/>
  <c r="P28" i="1"/>
  <c r="P27" i="1"/>
  <c r="O26" i="1"/>
  <c r="Q25" i="1"/>
  <c r="O24" i="1"/>
  <c r="O23" i="1"/>
  <c r="O22" i="1"/>
  <c r="O21" i="1"/>
  <c r="Q20" i="1"/>
  <c r="Q19" i="1"/>
  <c r="Q18" i="1"/>
  <c r="Q10" i="1"/>
  <c r="Q9" i="1"/>
  <c r="P7" i="1"/>
  <c r="O7" i="1"/>
  <c r="P6" i="1"/>
  <c r="O6" i="1"/>
  <c r="P5" i="1"/>
  <c r="O5" i="1"/>
  <c r="P4" i="1"/>
  <c r="O4" i="1"/>
  <c r="P3" i="1"/>
  <c r="O3" i="1"/>
  <c r="Q71" i="1" l="1"/>
  <c r="Q61" i="1"/>
  <c r="Q3" i="1"/>
  <c r="Q47" i="1"/>
  <c r="P22" i="1"/>
  <c r="Q22" i="1" s="1"/>
  <c r="P24" i="1"/>
  <c r="Q24" i="1" s="1"/>
  <c r="P23" i="1"/>
  <c r="Q23" i="1" s="1"/>
  <c r="Q5" i="1"/>
  <c r="Q44" i="1"/>
  <c r="Q4" i="1"/>
  <c r="Q48" i="1"/>
  <c r="Q72" i="1"/>
  <c r="Q7" i="1"/>
  <c r="P21" i="1"/>
  <c r="Q21" i="1" s="1"/>
  <c r="O43" i="1"/>
  <c r="Q6" i="1"/>
  <c r="Q69" i="1"/>
  <c r="Q70" i="1"/>
  <c r="Q45" i="1"/>
  <c r="Q46" i="1"/>
  <c r="P43" i="1"/>
  <c r="Q49" i="1"/>
  <c r="Q55" i="1"/>
  <c r="Q109" i="1"/>
  <c r="Q43" i="1" l="1"/>
  <c r="P576" i="1" l="1"/>
  <c r="O576" i="1"/>
  <c r="M576" i="1"/>
  <c r="L576" i="1"/>
  <c r="P575" i="1"/>
  <c r="O575" i="1"/>
  <c r="M575" i="1"/>
  <c r="L575" i="1"/>
  <c r="P574" i="1"/>
  <c r="O574" i="1"/>
  <c r="M574" i="1"/>
  <c r="L574" i="1"/>
  <c r="P573" i="1"/>
  <c r="O573" i="1"/>
  <c r="M573" i="1"/>
  <c r="L573" i="1"/>
  <c r="P572" i="1"/>
  <c r="O572" i="1"/>
  <c r="M572" i="1"/>
  <c r="L572" i="1"/>
  <c r="P571" i="1"/>
  <c r="O571" i="1"/>
  <c r="M571" i="1"/>
  <c r="L571" i="1"/>
  <c r="P570" i="1"/>
  <c r="O570" i="1"/>
  <c r="M570" i="1"/>
  <c r="L570" i="1"/>
  <c r="P577" i="1"/>
  <c r="O577" i="1"/>
  <c r="M577" i="1"/>
  <c r="L577" i="1"/>
  <c r="P585" i="1"/>
  <c r="O585" i="1"/>
  <c r="M585" i="1"/>
  <c r="L585" i="1"/>
  <c r="N592" i="1"/>
  <c r="N591" i="1"/>
  <c r="N590" i="1"/>
  <c r="N589" i="1"/>
  <c r="N588" i="1"/>
  <c r="N587" i="1"/>
  <c r="N586" i="1"/>
  <c r="Q592" i="1"/>
  <c r="Q591" i="1"/>
  <c r="Q590" i="1"/>
  <c r="Q589" i="1"/>
  <c r="Q588" i="1"/>
  <c r="Q587" i="1"/>
  <c r="Q586" i="1"/>
  <c r="Q584" i="1"/>
  <c r="Q583" i="1"/>
  <c r="Q582" i="1"/>
  <c r="Q581" i="1"/>
  <c r="Q580" i="1"/>
  <c r="Q579" i="1"/>
  <c r="Q578" i="1"/>
  <c r="N584" i="1"/>
  <c r="N583" i="1"/>
  <c r="N582" i="1"/>
  <c r="N581" i="1"/>
  <c r="N580" i="1"/>
  <c r="N579" i="1"/>
  <c r="N578" i="1"/>
  <c r="P552" i="1"/>
  <c r="O552" i="1"/>
  <c r="M552" i="1"/>
  <c r="L552" i="1"/>
  <c r="P551" i="1"/>
  <c r="O551" i="1"/>
  <c r="M551" i="1"/>
  <c r="L551" i="1"/>
  <c r="P550" i="1"/>
  <c r="O550" i="1"/>
  <c r="M550" i="1"/>
  <c r="L550" i="1"/>
  <c r="P549" i="1"/>
  <c r="O549" i="1"/>
  <c r="M549" i="1"/>
  <c r="L549" i="1"/>
  <c r="P548" i="1"/>
  <c r="O548" i="1"/>
  <c r="M548" i="1"/>
  <c r="L548" i="1"/>
  <c r="P547" i="1"/>
  <c r="O547" i="1"/>
  <c r="M547" i="1"/>
  <c r="L547" i="1"/>
  <c r="P546" i="1"/>
  <c r="O546" i="1"/>
  <c r="M546" i="1"/>
  <c r="L546" i="1"/>
  <c r="P553" i="1"/>
  <c r="O553" i="1"/>
  <c r="M553" i="1"/>
  <c r="L553" i="1"/>
  <c r="P561" i="1"/>
  <c r="O561" i="1"/>
  <c r="M561" i="1"/>
  <c r="L561" i="1"/>
  <c r="N560" i="1"/>
  <c r="N559" i="1"/>
  <c r="N558" i="1"/>
  <c r="N557" i="1"/>
  <c r="N556" i="1"/>
  <c r="N555" i="1"/>
  <c r="N554" i="1"/>
  <c r="Q560" i="1"/>
  <c r="Q559" i="1"/>
  <c r="Q558" i="1"/>
  <c r="Q557" i="1"/>
  <c r="Q556" i="1"/>
  <c r="Q555" i="1"/>
  <c r="Q554" i="1"/>
  <c r="Q568" i="1"/>
  <c r="Q567" i="1"/>
  <c r="Q566" i="1"/>
  <c r="Q565" i="1"/>
  <c r="Q564" i="1"/>
  <c r="Q563" i="1"/>
  <c r="Q562" i="1"/>
  <c r="N568" i="1"/>
  <c r="N567" i="1"/>
  <c r="N566" i="1"/>
  <c r="N565" i="1"/>
  <c r="N564" i="1"/>
  <c r="N563" i="1"/>
  <c r="N562" i="1"/>
  <c r="P528" i="1"/>
  <c r="O528" i="1"/>
  <c r="M528" i="1"/>
  <c r="L528" i="1"/>
  <c r="P527" i="1"/>
  <c r="O527" i="1"/>
  <c r="M527" i="1"/>
  <c r="L527" i="1"/>
  <c r="P526" i="1"/>
  <c r="O526" i="1"/>
  <c r="M526" i="1"/>
  <c r="L526" i="1"/>
  <c r="P525" i="1"/>
  <c r="O525" i="1"/>
  <c r="M525" i="1"/>
  <c r="L525" i="1"/>
  <c r="P524" i="1"/>
  <c r="O524" i="1"/>
  <c r="M524" i="1"/>
  <c r="L524" i="1"/>
  <c r="P523" i="1"/>
  <c r="O523" i="1"/>
  <c r="M523" i="1"/>
  <c r="L523" i="1"/>
  <c r="P522" i="1"/>
  <c r="O522" i="1"/>
  <c r="M522" i="1"/>
  <c r="L522" i="1"/>
  <c r="P529" i="1"/>
  <c r="O529" i="1"/>
  <c r="M529" i="1"/>
  <c r="L529" i="1"/>
  <c r="P537" i="1"/>
  <c r="O537" i="1"/>
  <c r="M537" i="1"/>
  <c r="L537" i="1"/>
  <c r="Q536" i="1"/>
  <c r="Q535" i="1"/>
  <c r="Q534" i="1"/>
  <c r="Q533" i="1"/>
  <c r="Q532" i="1"/>
  <c r="Q531" i="1"/>
  <c r="Q530" i="1"/>
  <c r="Q544" i="1"/>
  <c r="Q543" i="1"/>
  <c r="Q542" i="1"/>
  <c r="Q541" i="1"/>
  <c r="Q540" i="1"/>
  <c r="Q539" i="1"/>
  <c r="Q538" i="1"/>
  <c r="N544" i="1"/>
  <c r="N543" i="1"/>
  <c r="N542" i="1"/>
  <c r="N541" i="1"/>
  <c r="N540" i="1"/>
  <c r="N539" i="1"/>
  <c r="N538" i="1"/>
  <c r="N531" i="1"/>
  <c r="N532" i="1"/>
  <c r="N533" i="1"/>
  <c r="N534" i="1"/>
  <c r="N535" i="1"/>
  <c r="N536" i="1"/>
  <c r="N530" i="1"/>
  <c r="P504" i="1"/>
  <c r="O504" i="1"/>
  <c r="M504" i="1"/>
  <c r="L504" i="1"/>
  <c r="P503" i="1"/>
  <c r="O503" i="1"/>
  <c r="M503" i="1"/>
  <c r="L503" i="1"/>
  <c r="P502" i="1"/>
  <c r="O502" i="1"/>
  <c r="M502" i="1"/>
  <c r="L502" i="1"/>
  <c r="P501" i="1"/>
  <c r="O501" i="1"/>
  <c r="M501" i="1"/>
  <c r="L501" i="1"/>
  <c r="P500" i="1"/>
  <c r="O500" i="1"/>
  <c r="M500" i="1"/>
  <c r="L500" i="1"/>
  <c r="P499" i="1"/>
  <c r="O499" i="1"/>
  <c r="M499" i="1"/>
  <c r="L499" i="1"/>
  <c r="P498" i="1"/>
  <c r="O498" i="1"/>
  <c r="M498" i="1"/>
  <c r="L498" i="1"/>
  <c r="P505" i="1"/>
  <c r="O505" i="1"/>
  <c r="M505" i="1"/>
  <c r="L505" i="1"/>
  <c r="P513" i="1"/>
  <c r="O513" i="1"/>
  <c r="M513" i="1"/>
  <c r="L513" i="1"/>
  <c r="N520" i="1"/>
  <c r="N519" i="1"/>
  <c r="N518" i="1"/>
  <c r="N517" i="1"/>
  <c r="N516" i="1"/>
  <c r="N515" i="1"/>
  <c r="N514" i="1"/>
  <c r="Q520" i="1"/>
  <c r="Q519" i="1"/>
  <c r="Q518" i="1"/>
  <c r="Q517" i="1"/>
  <c r="Q516" i="1"/>
  <c r="Q515" i="1"/>
  <c r="Q514" i="1"/>
  <c r="Q507" i="1"/>
  <c r="Q508" i="1"/>
  <c r="Q509" i="1"/>
  <c r="Q510" i="1"/>
  <c r="Q511" i="1"/>
  <c r="Q512" i="1"/>
  <c r="N507" i="1"/>
  <c r="N508" i="1"/>
  <c r="N509" i="1"/>
  <c r="N510" i="1"/>
  <c r="N511" i="1"/>
  <c r="N512" i="1"/>
  <c r="Q506" i="1"/>
  <c r="N506" i="1"/>
  <c r="L474" i="1"/>
  <c r="M474" i="1"/>
  <c r="O474" i="1"/>
  <c r="P474" i="1"/>
  <c r="L475" i="1"/>
  <c r="M475" i="1"/>
  <c r="O475" i="1"/>
  <c r="P475" i="1"/>
  <c r="L476" i="1"/>
  <c r="M476" i="1"/>
  <c r="O476" i="1"/>
  <c r="P476" i="1"/>
  <c r="L477" i="1"/>
  <c r="M477" i="1"/>
  <c r="O477" i="1"/>
  <c r="P477" i="1"/>
  <c r="L478" i="1"/>
  <c r="M478" i="1"/>
  <c r="O478" i="1"/>
  <c r="P478" i="1"/>
  <c r="L479" i="1"/>
  <c r="M479" i="1"/>
  <c r="O479" i="1"/>
  <c r="P479" i="1"/>
  <c r="L480" i="1"/>
  <c r="M480" i="1"/>
  <c r="O480" i="1"/>
  <c r="P480" i="1"/>
  <c r="P481" i="1"/>
  <c r="O481" i="1"/>
  <c r="M481" i="1"/>
  <c r="L481" i="1"/>
  <c r="M489" i="1"/>
  <c r="O489" i="1"/>
  <c r="P489" i="1"/>
  <c r="L489" i="1"/>
  <c r="Q491" i="1"/>
  <c r="Q492" i="1"/>
  <c r="Q493" i="1"/>
  <c r="Q494" i="1"/>
  <c r="Q495" i="1"/>
  <c r="Q496" i="1"/>
  <c r="Q490" i="1"/>
  <c r="N491" i="1"/>
  <c r="N492" i="1"/>
  <c r="N493" i="1"/>
  <c r="N494" i="1"/>
  <c r="N495" i="1"/>
  <c r="N496" i="1"/>
  <c r="N490" i="1"/>
  <c r="M451" i="1"/>
  <c r="P451" i="1"/>
  <c r="L452" i="1"/>
  <c r="M452" i="1"/>
  <c r="O452" i="1"/>
  <c r="P452" i="1"/>
  <c r="L453" i="1"/>
  <c r="M453" i="1"/>
  <c r="O453" i="1"/>
  <c r="P453" i="1"/>
  <c r="L454" i="1"/>
  <c r="M454" i="1"/>
  <c r="O454" i="1"/>
  <c r="P454" i="1"/>
  <c r="L455" i="1"/>
  <c r="M455" i="1"/>
  <c r="O455" i="1"/>
  <c r="P455" i="1"/>
  <c r="L456" i="1"/>
  <c r="M456" i="1"/>
  <c r="O456" i="1"/>
  <c r="P456" i="1"/>
  <c r="P450" i="1"/>
  <c r="O450" i="1"/>
  <c r="M450" i="1"/>
  <c r="P465" i="1"/>
  <c r="O465" i="1"/>
  <c r="M465" i="1"/>
  <c r="L465" i="1"/>
  <c r="N458" i="1"/>
  <c r="P457" i="1"/>
  <c r="M457" i="1"/>
  <c r="O459" i="1"/>
  <c r="O457" i="1" s="1"/>
  <c r="L459" i="1"/>
  <c r="L451" i="1" s="1"/>
  <c r="L458" i="1"/>
  <c r="L450" i="1" s="1"/>
  <c r="L228" i="1"/>
  <c r="O228" i="1"/>
  <c r="P423" i="1"/>
  <c r="Q423" i="1" s="1"/>
  <c r="P422" i="1"/>
  <c r="Q422" i="1" s="1"/>
  <c r="P421" i="1"/>
  <c r="Q421" i="1" s="1"/>
  <c r="P420" i="1"/>
  <c r="Q420" i="1" s="1"/>
  <c r="P419" i="1"/>
  <c r="Q419" i="1" s="1"/>
  <c r="P418" i="1"/>
  <c r="Q418" i="1" s="1"/>
  <c r="P417" i="1"/>
  <c r="Q417" i="1" s="1"/>
  <c r="P416" i="1"/>
  <c r="Q416" i="1" s="1"/>
  <c r="P415" i="1"/>
  <c r="Q415" i="1" s="1"/>
  <c r="P414" i="1"/>
  <c r="Q414" i="1" s="1"/>
  <c r="P413" i="1"/>
  <c r="Q413" i="1" s="1"/>
  <c r="P412" i="1"/>
  <c r="Q412" i="1" s="1"/>
  <c r="P411" i="1"/>
  <c r="Q411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P410" i="1"/>
  <c r="M410" i="1"/>
  <c r="M409" i="1"/>
  <c r="P409" i="1"/>
  <c r="Q383" i="1"/>
  <c r="N383" i="1"/>
  <c r="N573" i="1" l="1"/>
  <c r="Q577" i="1"/>
  <c r="M569" i="1"/>
  <c r="N570" i="1"/>
  <c r="N574" i="1"/>
  <c r="N575" i="1"/>
  <c r="Q571" i="1"/>
  <c r="L569" i="1"/>
  <c r="O569" i="1"/>
  <c r="Q576" i="1"/>
  <c r="N571" i="1"/>
  <c r="P569" i="1"/>
  <c r="Q572" i="1"/>
  <c r="Q574" i="1"/>
  <c r="N576" i="1"/>
  <c r="Q575" i="1"/>
  <c r="Q573" i="1"/>
  <c r="N572" i="1"/>
  <c r="Q570" i="1"/>
  <c r="N577" i="1"/>
  <c r="N585" i="1"/>
  <c r="Q585" i="1"/>
  <c r="Q548" i="1"/>
  <c r="N553" i="1"/>
  <c r="N551" i="1"/>
  <c r="Q547" i="1"/>
  <c r="M545" i="1"/>
  <c r="N546" i="1"/>
  <c r="N548" i="1"/>
  <c r="N550" i="1"/>
  <c r="N552" i="1"/>
  <c r="N547" i="1"/>
  <c r="Q553" i="1"/>
  <c r="Q550" i="1"/>
  <c r="Q551" i="1"/>
  <c r="Q546" i="1"/>
  <c r="O545" i="1"/>
  <c r="Q549" i="1"/>
  <c r="L545" i="1"/>
  <c r="P545" i="1"/>
  <c r="N549" i="1"/>
  <c r="Q552" i="1"/>
  <c r="Q561" i="1"/>
  <c r="N561" i="1"/>
  <c r="N527" i="1"/>
  <c r="N522" i="1"/>
  <c r="Q526" i="1"/>
  <c r="Q528" i="1"/>
  <c r="N525" i="1"/>
  <c r="L521" i="1"/>
  <c r="N524" i="1"/>
  <c r="N526" i="1"/>
  <c r="Q523" i="1"/>
  <c r="Q525" i="1"/>
  <c r="M521" i="1"/>
  <c r="Q527" i="1"/>
  <c r="O521" i="1"/>
  <c r="P521" i="1"/>
  <c r="N528" i="1"/>
  <c r="Q522" i="1"/>
  <c r="Q524" i="1"/>
  <c r="N523" i="1"/>
  <c r="Q529" i="1"/>
  <c r="N529" i="1"/>
  <c r="Q537" i="1"/>
  <c r="N537" i="1"/>
  <c r="N499" i="1"/>
  <c r="N503" i="1"/>
  <c r="P497" i="1"/>
  <c r="Q499" i="1"/>
  <c r="M497" i="1"/>
  <c r="N498" i="1"/>
  <c r="N500" i="1"/>
  <c r="N502" i="1"/>
  <c r="N504" i="1"/>
  <c r="Q502" i="1"/>
  <c r="Q504" i="1"/>
  <c r="Q501" i="1"/>
  <c r="Q498" i="1"/>
  <c r="O497" i="1"/>
  <c r="Q500" i="1"/>
  <c r="Q503" i="1"/>
  <c r="L497" i="1"/>
  <c r="N501" i="1"/>
  <c r="N505" i="1"/>
  <c r="N513" i="1"/>
  <c r="Q505" i="1"/>
  <c r="Q513" i="1"/>
  <c r="Q479" i="1"/>
  <c r="Q478" i="1"/>
  <c r="N478" i="1"/>
  <c r="N476" i="1"/>
  <c r="Q474" i="1"/>
  <c r="Q477" i="1"/>
  <c r="Q476" i="1"/>
  <c r="Q475" i="1"/>
  <c r="N477" i="1"/>
  <c r="N474" i="1"/>
  <c r="N479" i="1"/>
  <c r="Q480" i="1"/>
  <c r="N480" i="1"/>
  <c r="N475" i="1"/>
  <c r="P473" i="1"/>
  <c r="O473" i="1"/>
  <c r="M473" i="1"/>
  <c r="L473" i="1"/>
  <c r="Q481" i="1"/>
  <c r="N481" i="1"/>
  <c r="Q489" i="1"/>
  <c r="N489" i="1"/>
  <c r="Q453" i="1"/>
  <c r="Q456" i="1"/>
  <c r="Q454" i="1"/>
  <c r="Q452" i="1"/>
  <c r="N454" i="1"/>
  <c r="Q455" i="1"/>
  <c r="Q450" i="1"/>
  <c r="N455" i="1"/>
  <c r="L449" i="1"/>
  <c r="M449" i="1"/>
  <c r="P449" i="1"/>
  <c r="N452" i="1"/>
  <c r="O451" i="1"/>
  <c r="O449" i="1" s="1"/>
  <c r="N456" i="1"/>
  <c r="N451" i="1"/>
  <c r="N453" i="1"/>
  <c r="N450" i="1"/>
  <c r="Q465" i="1"/>
  <c r="N465" i="1"/>
  <c r="Q457" i="1"/>
  <c r="L457" i="1"/>
  <c r="N457" i="1" s="1"/>
  <c r="N569" i="1" l="1"/>
  <c r="Q569" i="1"/>
  <c r="N545" i="1"/>
  <c r="Q545" i="1"/>
  <c r="Q521" i="1"/>
  <c r="N521" i="1"/>
  <c r="N497" i="1"/>
  <c r="Q497" i="1"/>
  <c r="Q473" i="1"/>
  <c r="N473" i="1"/>
  <c r="N449" i="1"/>
  <c r="Q451" i="1"/>
  <c r="Q449" i="1"/>
  <c r="P62" i="4" l="1"/>
  <c r="R62" i="4" s="1"/>
  <c r="Q59" i="4"/>
  <c r="P59" i="4"/>
  <c r="Q56" i="4"/>
  <c r="P56" i="4"/>
  <c r="P53" i="4"/>
  <c r="R53" i="4" s="1"/>
  <c r="Q52" i="4"/>
  <c r="P52" i="4"/>
  <c r="P35" i="4"/>
  <c r="P34" i="4"/>
  <c r="P33" i="4"/>
  <c r="P32" i="4"/>
  <c r="P31" i="4"/>
  <c r="P30" i="4"/>
  <c r="P29" i="4"/>
  <c r="P28" i="4"/>
  <c r="R27" i="4"/>
  <c r="N27" i="4"/>
  <c r="R26" i="4"/>
  <c r="N26" i="4"/>
  <c r="R25" i="4"/>
  <c r="N25" i="4"/>
  <c r="R24" i="4"/>
  <c r="N24" i="4"/>
  <c r="R23" i="4"/>
  <c r="N23" i="4"/>
  <c r="R22" i="4"/>
  <c r="N22" i="4"/>
  <c r="R21" i="4"/>
  <c r="N21" i="4"/>
  <c r="R20" i="4"/>
  <c r="N20" i="4"/>
  <c r="R19" i="4"/>
  <c r="N19" i="4"/>
  <c r="R18" i="4"/>
  <c r="N18" i="4"/>
  <c r="R17" i="4"/>
  <c r="N17" i="4"/>
  <c r="R16" i="4"/>
  <c r="N16" i="4"/>
  <c r="Q15" i="4"/>
  <c r="R15" i="4" s="1"/>
  <c r="M15" i="4"/>
  <c r="L15" i="4"/>
  <c r="Q14" i="4"/>
  <c r="R14" i="4" s="1"/>
  <c r="M14" i="4"/>
  <c r="L14" i="4"/>
  <c r="Q13" i="4"/>
  <c r="P13" i="4"/>
  <c r="M13" i="4"/>
  <c r="L13" i="4"/>
  <c r="P444" i="1"/>
  <c r="M444" i="1"/>
  <c r="P443" i="1"/>
  <c r="M443" i="1"/>
  <c r="P442" i="1"/>
  <c r="O442" i="1"/>
  <c r="M441" i="1"/>
  <c r="L441" i="1"/>
  <c r="P440" i="1"/>
  <c r="M440" i="1"/>
  <c r="Q439" i="1"/>
  <c r="Q438" i="1"/>
  <c r="Q437" i="1"/>
  <c r="P434" i="1"/>
  <c r="O433" i="1"/>
  <c r="P433" i="1" s="1"/>
  <c r="P432" i="1"/>
  <c r="M431" i="1"/>
  <c r="M430" i="1"/>
  <c r="M425" i="1"/>
  <c r="P385" i="1"/>
  <c r="O385" i="1"/>
  <c r="P384" i="1"/>
  <c r="M384" i="1"/>
  <c r="P382" i="1"/>
  <c r="M382" i="1"/>
  <c r="P381" i="1"/>
  <c r="M381" i="1"/>
  <c r="P380" i="1"/>
  <c r="M380" i="1"/>
  <c r="P379" i="1"/>
  <c r="M379" i="1"/>
  <c r="P378" i="1"/>
  <c r="M378" i="1"/>
  <c r="P377" i="1"/>
  <c r="M377" i="1"/>
  <c r="P376" i="1"/>
  <c r="M376" i="1"/>
  <c r="P375" i="1"/>
  <c r="M375" i="1"/>
  <c r="P374" i="1"/>
  <c r="P373" i="1"/>
  <c r="P372" i="1"/>
  <c r="P371" i="1"/>
  <c r="P370" i="1"/>
  <c r="P369" i="1"/>
  <c r="P368" i="1"/>
  <c r="P367" i="1"/>
  <c r="P366" i="1"/>
  <c r="P365" i="1"/>
  <c r="P364" i="1"/>
  <c r="Q359" i="1"/>
  <c r="Q358" i="1"/>
  <c r="L358" i="1"/>
  <c r="L357" i="1" s="1"/>
  <c r="P357" i="1"/>
  <c r="Q357" i="1" s="1"/>
  <c r="M357" i="1"/>
  <c r="M355" i="1"/>
  <c r="N355" i="1" s="1"/>
  <c r="M354" i="1"/>
  <c r="L354" i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N347" i="1"/>
  <c r="P346" i="1"/>
  <c r="M346" i="1"/>
  <c r="P345" i="1"/>
  <c r="M345" i="1"/>
  <c r="P344" i="1"/>
  <c r="M344" i="1"/>
  <c r="P343" i="1"/>
  <c r="M343" i="1"/>
  <c r="P342" i="1"/>
  <c r="M342" i="1"/>
  <c r="P341" i="1"/>
  <c r="M341" i="1"/>
  <c r="P340" i="1"/>
  <c r="M339" i="1"/>
  <c r="P337" i="1"/>
  <c r="M337" i="1"/>
  <c r="P336" i="1"/>
  <c r="M336" i="1"/>
  <c r="O335" i="1"/>
  <c r="Q335" i="1" s="1"/>
  <c r="O334" i="1"/>
  <c r="Q334" i="1" s="1"/>
  <c r="O333" i="1"/>
  <c r="Q333" i="1" s="1"/>
  <c r="P320" i="1"/>
  <c r="O320" i="1"/>
  <c r="M320" i="1"/>
  <c r="L320" i="1"/>
  <c r="P315" i="1"/>
  <c r="O315" i="1"/>
  <c r="M315" i="1"/>
  <c r="L315" i="1"/>
  <c r="P314" i="1"/>
  <c r="O314" i="1"/>
  <c r="M314" i="1"/>
  <c r="L314" i="1"/>
  <c r="P313" i="1"/>
  <c r="O313" i="1"/>
  <c r="M313" i="1"/>
  <c r="L313" i="1"/>
  <c r="P312" i="1"/>
  <c r="O312" i="1"/>
  <c r="M312" i="1"/>
  <c r="L312" i="1"/>
  <c r="P311" i="1"/>
  <c r="O311" i="1"/>
  <c r="M311" i="1"/>
  <c r="L311" i="1"/>
  <c r="Q310" i="1"/>
  <c r="N310" i="1"/>
  <c r="P227" i="1"/>
  <c r="M227" i="1"/>
  <c r="P226" i="1"/>
  <c r="M226" i="1"/>
  <c r="P225" i="1"/>
  <c r="M225" i="1"/>
  <c r="P224" i="1"/>
  <c r="M224" i="1"/>
  <c r="P223" i="1"/>
  <c r="M223" i="1"/>
  <c r="P222" i="1"/>
  <c r="M222" i="1"/>
  <c r="O221" i="1"/>
  <c r="P221" i="1" s="1"/>
  <c r="L221" i="1"/>
  <c r="M221" i="1" s="1"/>
  <c r="P220" i="1"/>
  <c r="M220" i="1"/>
  <c r="P219" i="1"/>
  <c r="M219" i="1"/>
  <c r="P218" i="1"/>
  <c r="M218" i="1"/>
  <c r="P217" i="1"/>
  <c r="M217" i="1"/>
  <c r="P216" i="1"/>
  <c r="M216" i="1"/>
  <c r="P215" i="1"/>
  <c r="M215" i="1"/>
  <c r="O214" i="1"/>
  <c r="P214" i="1" s="1"/>
  <c r="L214" i="1"/>
  <c r="M214" i="1" s="1"/>
  <c r="O213" i="1"/>
  <c r="L213" i="1"/>
  <c r="O212" i="1"/>
  <c r="L212" i="1"/>
  <c r="O211" i="1"/>
  <c r="L211" i="1"/>
  <c r="O210" i="1"/>
  <c r="L210" i="1"/>
  <c r="O209" i="1"/>
  <c r="L209" i="1"/>
  <c r="O208" i="1"/>
  <c r="L208" i="1"/>
  <c r="P207" i="1"/>
  <c r="M207" i="1"/>
  <c r="P206" i="1"/>
  <c r="L203" i="1"/>
  <c r="N203" i="1" s="1"/>
  <c r="M202" i="1"/>
  <c r="L202" i="1"/>
  <c r="P200" i="1"/>
  <c r="P199" i="1"/>
  <c r="P198" i="1"/>
  <c r="M197" i="1"/>
  <c r="P194" i="1"/>
  <c r="O194" i="1"/>
  <c r="P193" i="1"/>
  <c r="Q193" i="1" s="1"/>
  <c r="M193" i="1"/>
  <c r="L193" i="1"/>
  <c r="P191" i="1"/>
  <c r="M191" i="1"/>
  <c r="P190" i="1"/>
  <c r="M190" i="1"/>
  <c r="P189" i="1"/>
  <c r="M189" i="1"/>
  <c r="P188" i="1"/>
  <c r="Q188" i="1" s="1"/>
  <c r="M188" i="1"/>
  <c r="L188" i="1"/>
  <c r="P187" i="1"/>
  <c r="O187" i="1"/>
  <c r="L186" i="1"/>
  <c r="N186" i="1" s="1"/>
  <c r="N185" i="1"/>
  <c r="M181" i="1"/>
  <c r="Q180" i="1"/>
  <c r="Q179" i="1"/>
  <c r="Q178" i="1"/>
  <c r="Q177" i="1"/>
  <c r="Q176" i="1"/>
  <c r="Q175" i="1"/>
  <c r="Q174" i="1"/>
  <c r="N174" i="1"/>
  <c r="Q173" i="1"/>
  <c r="N173" i="1"/>
  <c r="P172" i="1"/>
  <c r="Q172" i="1" s="1"/>
  <c r="M172" i="1"/>
  <c r="L172" i="1"/>
  <c r="Q170" i="1"/>
  <c r="Q169" i="1"/>
  <c r="Q168" i="1"/>
  <c r="Q167" i="1"/>
  <c r="Q166" i="1"/>
  <c r="Q165" i="1"/>
  <c r="Q164" i="1"/>
  <c r="Q163" i="1"/>
  <c r="O162" i="1"/>
  <c r="Q162" i="1" s="1"/>
  <c r="P161" i="1"/>
  <c r="M161" i="1"/>
  <c r="P160" i="1"/>
  <c r="M160" i="1"/>
  <c r="P159" i="1"/>
  <c r="M159" i="1"/>
  <c r="P158" i="1"/>
  <c r="M158" i="1"/>
  <c r="O157" i="1"/>
  <c r="Q157" i="1" s="1"/>
  <c r="O156" i="1"/>
  <c r="Q156" i="1" s="1"/>
  <c r="Q149" i="1"/>
  <c r="Q148" i="1"/>
  <c r="Q147" i="1"/>
  <c r="Q146" i="1"/>
  <c r="P145" i="1"/>
  <c r="Q145" i="1" s="1"/>
  <c r="Q144" i="1"/>
  <c r="Q143" i="1"/>
  <c r="Q142" i="1"/>
  <c r="Q141" i="1"/>
  <c r="P140" i="1"/>
  <c r="Q140" i="1" s="1"/>
  <c r="P139" i="1"/>
  <c r="O139" i="1"/>
  <c r="P138" i="1"/>
  <c r="O138" i="1"/>
  <c r="P137" i="1"/>
  <c r="O137" i="1"/>
  <c r="P136" i="1"/>
  <c r="O136" i="1"/>
  <c r="O135" i="1"/>
  <c r="P128" i="1"/>
  <c r="P121" i="1"/>
  <c r="P120" i="1"/>
  <c r="R56" i="4" l="1"/>
  <c r="N15" i="4"/>
  <c r="N13" i="4"/>
  <c r="R59" i="4"/>
  <c r="R13" i="4"/>
  <c r="R52" i="4"/>
  <c r="N14" i="4"/>
  <c r="P211" i="1"/>
  <c r="Q211" i="1" s="1"/>
  <c r="Q442" i="1"/>
  <c r="M210" i="1"/>
  <c r="N210" i="1" s="1"/>
  <c r="P209" i="1"/>
  <c r="Q209" i="1" s="1"/>
  <c r="Q136" i="1"/>
  <c r="N311" i="1"/>
  <c r="N354" i="1"/>
  <c r="Q385" i="1"/>
  <c r="P135" i="1"/>
  <c r="Q135" i="1" s="1"/>
  <c r="Q314" i="1"/>
  <c r="Q194" i="1"/>
  <c r="N315" i="1"/>
  <c r="P213" i="1"/>
  <c r="Q213" i="1" s="1"/>
  <c r="Q137" i="1"/>
  <c r="P210" i="1"/>
  <c r="Q210" i="1" s="1"/>
  <c r="Q313" i="1"/>
  <c r="N202" i="1"/>
  <c r="Q138" i="1"/>
  <c r="M208" i="1"/>
  <c r="N208" i="1" s="1"/>
  <c r="Q315" i="1"/>
  <c r="N188" i="1"/>
  <c r="P208" i="1"/>
  <c r="Q208" i="1" s="1"/>
  <c r="Q139" i="1"/>
  <c r="N193" i="1"/>
  <c r="M213" i="1"/>
  <c r="N213" i="1" s="1"/>
  <c r="N441" i="1"/>
  <c r="M211" i="1"/>
  <c r="N211" i="1" s="1"/>
  <c r="Q311" i="1"/>
  <c r="N172" i="1"/>
  <c r="Q187" i="1"/>
  <c r="M212" i="1"/>
  <c r="N212" i="1" s="1"/>
  <c r="N312" i="1"/>
  <c r="N314" i="1"/>
  <c r="P212" i="1"/>
  <c r="Q212" i="1" s="1"/>
  <c r="M209" i="1"/>
  <c r="N209" i="1" s="1"/>
  <c r="Q312" i="1"/>
  <c r="N320" i="1"/>
  <c r="N358" i="1"/>
  <c r="N313" i="1"/>
  <c r="Q320" i="1"/>
  <c r="N357" i="1"/>
</calcChain>
</file>

<file path=xl/sharedStrings.xml><?xml version="1.0" encoding="utf-8"?>
<sst xmlns="http://schemas.openxmlformats.org/spreadsheetml/2006/main" count="7732" uniqueCount="663">
  <si>
    <t>First author</t>
  </si>
  <si>
    <t>Year published</t>
  </si>
  <si>
    <t>Country or Area</t>
  </si>
  <si>
    <t>City/town/area</t>
  </si>
  <si>
    <t>Study name</t>
  </si>
  <si>
    <t>Study year</t>
  </si>
  <si>
    <t>Group tested</t>
  </si>
  <si>
    <t>Assay</t>
  </si>
  <si>
    <t>Europe</t>
  </si>
  <si>
    <t>Unknown</t>
  </si>
  <si>
    <t>N/A</t>
  </si>
  <si>
    <t>F</t>
  </si>
  <si>
    <t>Range: 27-30</t>
  </si>
  <si>
    <t>Americas</t>
  </si>
  <si>
    <t>USA</t>
  </si>
  <si>
    <t>India</t>
  </si>
  <si>
    <t>M+F</t>
  </si>
  <si>
    <t>Arama</t>
  </si>
  <si>
    <t>Romania</t>
  </si>
  <si>
    <t>All</t>
  </si>
  <si>
    <t>EPI40077/6822010</t>
  </si>
  <si>
    <t>2004-2007</t>
  </si>
  <si>
    <t>General population</t>
  </si>
  <si>
    <t>M</t>
  </si>
  <si>
    <t>Range: 15-19</t>
  </si>
  <si>
    <t>Range: 20-24</t>
  </si>
  <si>
    <t>Range: 25-29</t>
  </si>
  <si>
    <t>Range: 30-34</t>
  </si>
  <si>
    <t>Range: 35-39</t>
  </si>
  <si>
    <t>Range: 40-45</t>
  </si>
  <si>
    <t>Balaeva</t>
  </si>
  <si>
    <t>Arkhangelsk</t>
  </si>
  <si>
    <t>2010-2011</t>
  </si>
  <si>
    <t>IgG ELISA (Vector-Best, Novosibirsk, RU)</t>
  </si>
  <si>
    <t>Mean: 27.3, range: 18-39</t>
  </si>
  <si>
    <t>Range: 18-24</t>
  </si>
  <si>
    <t>Mean: 27.6, range: 18-39</t>
  </si>
  <si>
    <t>Mean: 27, range: 18-39</t>
  </si>
  <si>
    <t>Bolu</t>
  </si>
  <si>
    <t>Ankara</t>
  </si>
  <si>
    <t>2009-2014</t>
  </si>
  <si>
    <t>ELISA</t>
  </si>
  <si>
    <t>Mean: 22.32, standard deviation: 3.21</t>
  </si>
  <si>
    <t>National</t>
  </si>
  <si>
    <t>NHANES</t>
  </si>
  <si>
    <t>Range: 14-19</t>
  </si>
  <si>
    <t>Range: 40-49</t>
  </si>
  <si>
    <t>Breyer</t>
  </si>
  <si>
    <t>Various</t>
  </si>
  <si>
    <t>PLCO</t>
  </si>
  <si>
    <t>1993-2001</t>
  </si>
  <si>
    <t>IgG Solid-phase enzymatic immunodot assay</t>
  </si>
  <si>
    <t>Mean: 64.3, range: 55-74</t>
  </si>
  <si>
    <t>China</t>
  </si>
  <si>
    <t>Cheslack-Postava</t>
  </si>
  <si>
    <t>FIPS-S</t>
  </si>
  <si>
    <t>1983-1998</t>
  </si>
  <si>
    <t>Pregnant women</t>
  </si>
  <si>
    <t>Mean: 28, standard deviation: 5.1</t>
  </si>
  <si>
    <t>Conde-Gelz</t>
  </si>
  <si>
    <t>ENSANUT 2006</t>
  </si>
  <si>
    <t>ELISA IgG Euroimmun (Medizinsche Lab, Germany)</t>
  </si>
  <si>
    <t>Median: 29, range: 1-95</t>
  </si>
  <si>
    <t>Range: 1-9</t>
  </si>
  <si>
    <t>Range: 10-19</t>
  </si>
  <si>
    <t>Range: &gt;=20</t>
  </si>
  <si>
    <t>Dargham</t>
  </si>
  <si>
    <t>Nationwide</t>
  </si>
  <si>
    <t>2013-2016</t>
  </si>
  <si>
    <t>Blood donors</t>
  </si>
  <si>
    <t>Range: &lt;24 - &gt;55</t>
  </si>
  <si>
    <t>Range: &lt;24</t>
  </si>
  <si>
    <t>Range: 40-44</t>
  </si>
  <si>
    <t>Range: 45-49</t>
  </si>
  <si>
    <t>Range: 50-54</t>
  </si>
  <si>
    <t>Range: &gt;=55</t>
  </si>
  <si>
    <t>De Witte</t>
  </si>
  <si>
    <t>GROUP</t>
  </si>
  <si>
    <t>2006-2009</t>
  </si>
  <si>
    <t>IgG ELISA (IBL, Hamburg, Germany)</t>
  </si>
  <si>
    <t>Mean: 34.5, standard deviation: 10.5, range: 18-55</t>
  </si>
  <si>
    <t>Delaney</t>
  </si>
  <si>
    <t>Washington</t>
  </si>
  <si>
    <t>1989-2010</t>
  </si>
  <si>
    <t>Western Blot</t>
  </si>
  <si>
    <t>Median: 28, IQR: [23,33]</t>
  </si>
  <si>
    <t>1989-1999</t>
  </si>
  <si>
    <t>2000-2010</t>
  </si>
  <si>
    <t>2011-2014</t>
  </si>
  <si>
    <t>HerpeSelect 2 ELISA (Focus, Cypress, CA)</t>
  </si>
  <si>
    <t>Domercant</t>
  </si>
  <si>
    <t>National HIV and Syphilis Sentinel Surveillance Survey (2012)</t>
  </si>
  <si>
    <t>Pregnant women at risk of HIV</t>
  </si>
  <si>
    <t>HerpeSelect ELISA (Focus, Cypress, CA)</t>
  </si>
  <si>
    <t>Range: &gt;=35</t>
  </si>
  <si>
    <t>Dowd</t>
  </si>
  <si>
    <t xml:space="preserve">Europe </t>
  </si>
  <si>
    <t>London</t>
  </si>
  <si>
    <t>Whitehall II Cohort</t>
  </si>
  <si>
    <t>2006-2008</t>
  </si>
  <si>
    <t>Volunteers with no history of heart problems</t>
  </si>
  <si>
    <t>IgG ELISA</t>
  </si>
  <si>
    <t>Mean: 63.4, standard deviation: 5.63, range: 53-76</t>
  </si>
  <si>
    <t>Finger-Jardim</t>
  </si>
  <si>
    <t>Rio Grande</t>
  </si>
  <si>
    <t>2012-2014</t>
  </si>
  <si>
    <t>Pregnant women in obstetric ward</t>
  </si>
  <si>
    <t>ELISA HSV-2 (Virion/Serion, Wurzburg, Germany)</t>
  </si>
  <si>
    <t>Mean: 24.8</t>
  </si>
  <si>
    <t>Newborns in obstetric ward</t>
  </si>
  <si>
    <t>0</t>
  </si>
  <si>
    <t>Fruchter</t>
  </si>
  <si>
    <t>IgG ELISA (HerpeSelect, Focus diagnostics, Cypress, CA)</t>
  </si>
  <si>
    <t>Range: 19-21</t>
  </si>
  <si>
    <t>Gilbert</t>
  </si>
  <si>
    <t>Thailand</t>
  </si>
  <si>
    <t>Rayong and Chon Bhuri</t>
  </si>
  <si>
    <t>RV144</t>
  </si>
  <si>
    <t>2003-2005</t>
  </si>
  <si>
    <t>IgG BAMA and HSV-2 Western Blot</t>
  </si>
  <si>
    <t>Range: 18-30</t>
  </si>
  <si>
    <t xml:space="preserve">Gorfinkel </t>
  </si>
  <si>
    <t>Canada</t>
  </si>
  <si>
    <t>Herpevac Trial</t>
  </si>
  <si>
    <t>2005-2007</t>
  </si>
  <si>
    <t>General population females</t>
  </si>
  <si>
    <t>Range: 17-22</t>
  </si>
  <si>
    <t>Range: 23-26</t>
  </si>
  <si>
    <t>2011-2012</t>
  </si>
  <si>
    <t>Hamdani</t>
  </si>
  <si>
    <t>Paris</t>
  </si>
  <si>
    <t>2008-2014</t>
  </si>
  <si>
    <t>Mean: 40.1, standard deviation: 13.8</t>
  </si>
  <si>
    <t>Hartog</t>
  </si>
  <si>
    <t>Amsterdam</t>
  </si>
  <si>
    <t>Amsterdam Health Monitor</t>
  </si>
  <si>
    <t>Antibody assays (Herpeselect, Focus, US)</t>
  </si>
  <si>
    <t>Mean: 48, standard deviation: 14</t>
  </si>
  <si>
    <t>Hochberg</t>
  </si>
  <si>
    <t>Andhra Pradesh</t>
  </si>
  <si>
    <t>2004-2011</t>
  </si>
  <si>
    <t>HerpeSelect IgG ELISA (Focus, CA, USA)</t>
  </si>
  <si>
    <t>Range: 15-49</t>
  </si>
  <si>
    <t>Mean: 30.2, standard deviation: 9.5, range: 15-49</t>
  </si>
  <si>
    <t>Hsu</t>
  </si>
  <si>
    <t>South</t>
  </si>
  <si>
    <t>2007-2011</t>
  </si>
  <si>
    <t>General Population</t>
  </si>
  <si>
    <t>Jahanbakhsh</t>
  </si>
  <si>
    <t>Tehran</t>
  </si>
  <si>
    <t>People who had been homeless for 10+ days</t>
  </si>
  <si>
    <t>IgG ELISA (Dia.Pro, Diagnostics Birprobes srl., Italy)</t>
  </si>
  <si>
    <t>Mean: 42, range: 18-60</t>
  </si>
  <si>
    <t>Jansen</t>
  </si>
  <si>
    <t>Rotterdam</t>
  </si>
  <si>
    <t>Generation R</t>
  </si>
  <si>
    <t>2008-2012</t>
  </si>
  <si>
    <t>Children born 2002-2006</t>
  </si>
  <si>
    <t>IgG (euro-immun, lubeck, Germany)</t>
  </si>
  <si>
    <t>Mean: 6.2, standard deviation: 0.6, median: 6</t>
  </si>
  <si>
    <t>Mean: 30.5, standard deviation: 5.2</t>
  </si>
  <si>
    <t>Mean: 6.2, range: 4.9-9.1</t>
  </si>
  <si>
    <t>Jonker, Jonker, Jonker</t>
  </si>
  <si>
    <t>2017, 2014, 2017</t>
  </si>
  <si>
    <t>North</t>
  </si>
  <si>
    <t>TRIALS</t>
  </si>
  <si>
    <t>2001-2009</t>
  </si>
  <si>
    <t>School children</t>
  </si>
  <si>
    <t>Mean: 16.1, standard deviation: 0.6</t>
  </si>
  <si>
    <t>Karachaliou</t>
  </si>
  <si>
    <t>2016, 2016, 2018</t>
  </si>
  <si>
    <t>Crete</t>
  </si>
  <si>
    <t>Rhea</t>
  </si>
  <si>
    <t>2007-2008</t>
  </si>
  <si>
    <t>Children of mothers recruited during pregnancy</t>
  </si>
  <si>
    <t>IgG fluorescent bead based multiplex serology</t>
  </si>
  <si>
    <t>Mean: 4.2, standard deviation: 0.2</t>
  </si>
  <si>
    <t>Kelly</t>
  </si>
  <si>
    <t>San Francisco</t>
  </si>
  <si>
    <t>SHADOW</t>
  </si>
  <si>
    <t>Homeless and unstably housed women</t>
  </si>
  <si>
    <t>Herpeselect 2 IgG (Quest Diagnostics)</t>
  </si>
  <si>
    <t>Median: 49, IQR: [43,54]</t>
  </si>
  <si>
    <t>Korr</t>
  </si>
  <si>
    <t>DEGS</t>
  </si>
  <si>
    <t>2008-2011</t>
  </si>
  <si>
    <t>IgG CLIA (LIASON HSV1/2, DiaSorin, von Hevesy-Strasse 3, 63128 Dietzen-bech)</t>
  </si>
  <si>
    <t xml:space="preserve">M+F </t>
  </si>
  <si>
    <t>Range: 18-64</t>
  </si>
  <si>
    <t>Range: 25-34</t>
  </si>
  <si>
    <t>Range: 35-44</t>
  </si>
  <si>
    <t>Range: 45-54</t>
  </si>
  <si>
    <t>Range: 55-64</t>
  </si>
  <si>
    <t>Li</t>
  </si>
  <si>
    <t>2009-2010</t>
  </si>
  <si>
    <t>Range: &lt;20</t>
  </si>
  <si>
    <t>ELISA IgG</t>
  </si>
  <si>
    <t>Shanghai</t>
  </si>
  <si>
    <t>2013-2014</t>
  </si>
  <si>
    <t>HerpeSelect 2 ELISA IgG (Focus, CA)</t>
  </si>
  <si>
    <t>Marchi</t>
  </si>
  <si>
    <t>Sienna</t>
  </si>
  <si>
    <t>BEIA HSV1/2 IgG ELISA (TechnoGenetics, Milano, Italy)</t>
  </si>
  <si>
    <t>Range: 0-50+</t>
  </si>
  <si>
    <t>Range: 0-14</t>
  </si>
  <si>
    <t>Range: 50+</t>
  </si>
  <si>
    <t>Africa</t>
  </si>
  <si>
    <t>Masel</t>
  </si>
  <si>
    <t>US Military Personnel</t>
  </si>
  <si>
    <t>IgG EIA  Bioplex Immunoassay, Bio-Rad laboratories, Hercules, CA)</t>
  </si>
  <si>
    <t>Range: 21-32</t>
  </si>
  <si>
    <t>Range: 21-23</t>
  </si>
  <si>
    <t>Range: 24-25</t>
  </si>
  <si>
    <t>Range: 26-27</t>
  </si>
  <si>
    <t>Range: 28-32</t>
  </si>
  <si>
    <t>2015-2016</t>
  </si>
  <si>
    <t>Memish</t>
  </si>
  <si>
    <t>2012-2013</t>
  </si>
  <si>
    <t>IgG ELISA (Vircell Micro-biologist, Grenada, Spain)</t>
  </si>
  <si>
    <t>Mean: 33, range: 18-113</t>
  </si>
  <si>
    <t>18</t>
  </si>
  <si>
    <t>Range: 19-30</t>
  </si>
  <si>
    <t>Range: 31-50</t>
  </si>
  <si>
    <t>Range: &gt;50</t>
  </si>
  <si>
    <t>IgG ELISA (Euroimmun, Lubek, Germany)</t>
  </si>
  <si>
    <t>Moore</t>
  </si>
  <si>
    <t>Detroit</t>
  </si>
  <si>
    <t>SELF</t>
  </si>
  <si>
    <t>2010-2012</t>
  </si>
  <si>
    <t>African-American women</t>
  </si>
  <si>
    <t>Median: 29, range: 23-34</t>
  </si>
  <si>
    <t>Range: 31-35</t>
  </si>
  <si>
    <t>Moreira-Soto</t>
  </si>
  <si>
    <t>North East</t>
  </si>
  <si>
    <t>Immunoblot test (Euroline [anti-TORCH-10 profile]; Euroimmun)</t>
  </si>
  <si>
    <t>Mean: 26.8, standard deviation: 6.6</t>
  </si>
  <si>
    <r>
      <rPr>
        <sz val="11"/>
        <color indexed="8"/>
        <rFont val="Calibri"/>
        <family val="2"/>
      </rPr>
      <t xml:space="preserve">Pregnant women in ZIKA area </t>
    </r>
    <r>
      <rPr>
        <b/>
        <sz val="11"/>
        <color indexed="8"/>
        <rFont val="Calibri"/>
        <family val="2"/>
      </rPr>
      <t>controls</t>
    </r>
  </si>
  <si>
    <t>Mean: 28.9, standard deviation: 6.6</t>
  </si>
  <si>
    <t>Moretti</t>
  </si>
  <si>
    <t>2014-2015</t>
  </si>
  <si>
    <t>BEIA HSV 1 IgG</t>
  </si>
  <si>
    <t>Median: 33, IQR: [27,39]</t>
  </si>
  <si>
    <t>Murdock</t>
  </si>
  <si>
    <t>Texas</t>
  </si>
  <si>
    <t xml:space="preserve">Texas City stress and health study </t>
  </si>
  <si>
    <t xml:space="preserve">IgG titers </t>
  </si>
  <si>
    <t>Mean: 52.78, standard deviation: 16.05, Range: 25-65+</t>
  </si>
  <si>
    <t>Nag</t>
  </si>
  <si>
    <t>Kolkata</t>
  </si>
  <si>
    <t>IgG ELISA (SERION ELISA Classic; Manufacturer Fabricant; Institut Virion/Serion GmbH, Germany)</t>
  </si>
  <si>
    <t>Range: 26-45</t>
  </si>
  <si>
    <t>Range: 18-25</t>
  </si>
  <si>
    <t>Range: 26-35</t>
  </si>
  <si>
    <t>Range: 36-45</t>
  </si>
  <si>
    <t>Range: 46-55</t>
  </si>
  <si>
    <t>Nasrallah</t>
  </si>
  <si>
    <t>Male blood donors</t>
  </si>
  <si>
    <t>HerpeSelect 1 ELISA IgG (Focus Diagnostics)</t>
  </si>
  <si>
    <t>Range: &lt;=24</t>
  </si>
  <si>
    <t>Nimgaonkar</t>
  </si>
  <si>
    <t>Pennsylvania</t>
  </si>
  <si>
    <t>MYHAT</t>
  </si>
  <si>
    <t>Adults age 65+ not in long term care</t>
  </si>
  <si>
    <t>ELISA (Focus Diagnostics, Cypress, CA)</t>
  </si>
  <si>
    <t>Mean: 77.5, standard deviation: 7.5</t>
  </si>
  <si>
    <t>Nowotny</t>
  </si>
  <si>
    <t>San Antonio</t>
  </si>
  <si>
    <t>SALTO</t>
  </si>
  <si>
    <t>Mexican-Americans</t>
  </si>
  <si>
    <t>IgG CLIA (DiaSorin Liaison XL Analyzer)</t>
  </si>
  <si>
    <t>Mean: 33.4, standard deviation: 2.47</t>
  </si>
  <si>
    <t>Olsson</t>
  </si>
  <si>
    <t>Umea</t>
  </si>
  <si>
    <t>Betula</t>
  </si>
  <si>
    <t>IgG ELISA (HerpeSelect, Focus diagnostics)</t>
  </si>
  <si>
    <t>Mean: 60.7, standard deviation: 16.2, range: 35-95</t>
  </si>
  <si>
    <t>Patel</t>
  </si>
  <si>
    <t>Baltimore</t>
  </si>
  <si>
    <t>Emergency department patients</t>
  </si>
  <si>
    <t>Median: 45.3, IQR: [33.2-56.8]</t>
  </si>
  <si>
    <t>Range: 65+</t>
  </si>
  <si>
    <t>Puhakka</t>
  </si>
  <si>
    <t>Finnish Maternity Cohort (FMC)</t>
  </si>
  <si>
    <t>Range: &lt;20 - &gt;=35</t>
  </si>
  <si>
    <t>1992-2012</t>
  </si>
  <si>
    <t>Range: &gt;= 35</t>
  </si>
  <si>
    <t>Remis</t>
  </si>
  <si>
    <t>Toronto</t>
  </si>
  <si>
    <t>Mean: 35.8, Median: 33.7, IQR: [24-46]</t>
  </si>
  <si>
    <t>Rubicz</t>
  </si>
  <si>
    <t>SAFS</t>
  </si>
  <si>
    <t>1991-1995</t>
  </si>
  <si>
    <t>Mean: 41, range: 16-94</t>
  </si>
  <si>
    <t>Sanchez-Aleman</t>
  </si>
  <si>
    <t>ENSANUT 2012</t>
  </si>
  <si>
    <t>Mean: 29.8, range: 15-49</t>
  </si>
  <si>
    <t>Shannon</t>
  </si>
  <si>
    <t>Median: 34, range: 20-66</t>
  </si>
  <si>
    <t>Shen</t>
  </si>
  <si>
    <t>Taiwan</t>
  </si>
  <si>
    <t>Range: 2m -89y</t>
  </si>
  <si>
    <t>Range: 2m-1y</t>
  </si>
  <si>
    <t>Range: 5-7</t>
  </si>
  <si>
    <t>Range: 14-16</t>
  </si>
  <si>
    <t>Mean: 32.2, standard deviation: 23.3, range: 0.2-89.8</t>
  </si>
  <si>
    <t>Simanek</t>
  </si>
  <si>
    <t>DNHS</t>
  </si>
  <si>
    <t>2008-2009</t>
  </si>
  <si>
    <t>Mean: 24, standard deviation: 15.8, range: 19-91</t>
  </si>
  <si>
    <t>Slawinski</t>
  </si>
  <si>
    <t>ARCH</t>
  </si>
  <si>
    <t>2008-2016</t>
  </si>
  <si>
    <t>Pregnant women attending an antenatal clinic</t>
  </si>
  <si>
    <t>IgG ELISA (Abcam)</t>
  </si>
  <si>
    <t>Range: 18 - &gt;35</t>
  </si>
  <si>
    <t>Range: &gt;35</t>
  </si>
  <si>
    <t>2008-2010</t>
  </si>
  <si>
    <t>Wang</t>
  </si>
  <si>
    <t>WHAS</t>
  </si>
  <si>
    <t>1992-1994(?)</t>
  </si>
  <si>
    <t>IgG ELISA (GenWay Biotech, San Diego, CA)</t>
  </si>
  <si>
    <t>Mean: 74, range: 70-79</t>
  </si>
  <si>
    <t>Werler</t>
  </si>
  <si>
    <t>1987-2012</t>
  </si>
  <si>
    <t>Pregnant women with unsuccessful births</t>
  </si>
  <si>
    <t>Woestenberg</t>
  </si>
  <si>
    <t xml:space="preserve">Pienter 1 </t>
  </si>
  <si>
    <t>1995-1996</t>
  </si>
  <si>
    <t xml:space="preserve">Pienter 2 </t>
  </si>
  <si>
    <t>2006-2007</t>
  </si>
  <si>
    <t>Zhang</t>
  </si>
  <si>
    <t>Range: 18-65</t>
  </si>
  <si>
    <t>MIRA</t>
  </si>
  <si>
    <t>CAPRISA 004</t>
  </si>
  <si>
    <t>KICoS</t>
  </si>
  <si>
    <t>PopART</t>
  </si>
  <si>
    <t>Partners PrEP</t>
  </si>
  <si>
    <t>MDP 301</t>
  </si>
  <si>
    <t>HSV-1 incidence</t>
  </si>
  <si>
    <t>HSV-2 incidence</t>
  </si>
  <si>
    <t>Length of follow-up</t>
  </si>
  <si>
    <t>2006-2010</t>
  </si>
  <si>
    <t>Military personnel</t>
  </si>
  <si>
    <t>IgG EIA (Bioplex, Bio-Rad laboratories, Hercules, CA)</t>
  </si>
  <si>
    <t>% of participants</t>
  </si>
  <si>
    <t>/100PY</t>
  </si>
  <si>
    <t>Guntur district</t>
  </si>
  <si>
    <t>/1000PY</t>
  </si>
  <si>
    <t xml:space="preserve">Gilbert </t>
  </si>
  <si>
    <t>South east</t>
  </si>
  <si>
    <t>2003-2009</t>
  </si>
  <si>
    <t>Western blot</t>
  </si>
  <si>
    <t>Dickson</t>
  </si>
  <si>
    <t>New Zealand</t>
  </si>
  <si>
    <t>Dunedin</t>
  </si>
  <si>
    <t>DMHDS</t>
  </si>
  <si>
    <t>1972 - 2010</t>
  </si>
  <si>
    <t>Range: 0-21</t>
  </si>
  <si>
    <t>Range: 21-26</t>
  </si>
  <si>
    <t>Range: 26-32</t>
  </si>
  <si>
    <t>Range: 32-38</t>
  </si>
  <si>
    <t>Males requiring semen analysis</t>
  </si>
  <si>
    <t xml:space="preserve">Residents of Toronto seeking medical care or in a shelter </t>
  </si>
  <si>
    <t>IgG ELISA (Focus Technologies, the United States of America)</t>
  </si>
  <si>
    <t>IgG ELISA (Focus Technologies, Cypress, CA, the United States of America)</t>
  </si>
  <si>
    <t xml:space="preserve">IgG ELISA (Focus Technologies, Cypress, CA, the United States of America) </t>
  </si>
  <si>
    <t>HerpeSelect IgG ELISA (Focus, CA, the United States of America)</t>
  </si>
  <si>
    <t>the Russian Federation</t>
  </si>
  <si>
    <t xml:space="preserve">the State of Israeli Defence Force recruits </t>
  </si>
  <si>
    <t>Schulte</t>
  </si>
  <si>
    <t>2002-2007</t>
  </si>
  <si>
    <t>Mean: 23, range: 17-43</t>
  </si>
  <si>
    <t>29022</t>
  </si>
  <si>
    <t>Range: &lt;= 18</t>
  </si>
  <si>
    <t>3290</t>
  </si>
  <si>
    <t>3624</t>
  </si>
  <si>
    <t>3238</t>
  </si>
  <si>
    <t>2888</t>
  </si>
  <si>
    <t>2715</t>
  </si>
  <si>
    <t>2639</t>
  </si>
  <si>
    <t>2303</t>
  </si>
  <si>
    <t>1957</t>
  </si>
  <si>
    <t>1652</t>
  </si>
  <si>
    <t>1494</t>
  </si>
  <si>
    <t>1280</t>
  </si>
  <si>
    <t>1072</t>
  </si>
  <si>
    <t>859</t>
  </si>
  <si>
    <t>2013-2015</t>
  </si>
  <si>
    <t>Peking</t>
  </si>
  <si>
    <t>CLIA (Sorin, Italy)</t>
  </si>
  <si>
    <t>Mean: 31, range: 18-48</t>
  </si>
  <si>
    <t>2009</t>
  </si>
  <si>
    <t>Bochner</t>
  </si>
  <si>
    <t>Mysore Taluk</t>
  </si>
  <si>
    <t>IgG ELISA (Focus, Cypress, CA)</t>
  </si>
  <si>
    <t>Median: 20, range: 15-33</t>
  </si>
  <si>
    <t>Range: &lt;=17</t>
  </si>
  <si>
    <t>Range: 18-20</t>
  </si>
  <si>
    <t>Range: &gt;=24</t>
  </si>
  <si>
    <t>2005-2006</t>
  </si>
  <si>
    <t>IgG ELISA (Focus Diagnostics, Philadelphia, PA, the USA))</t>
  </si>
  <si>
    <t>Germany</t>
  </si>
  <si>
    <t>Brazil</t>
  </si>
  <si>
    <t>France</t>
  </si>
  <si>
    <t>Greece</t>
  </si>
  <si>
    <t>Iran</t>
  </si>
  <si>
    <t>Saudi Arabia</t>
  </si>
  <si>
    <t>Sweden</t>
  </si>
  <si>
    <t>Finland</t>
  </si>
  <si>
    <t>Haiti</t>
  </si>
  <si>
    <t>Italy</t>
  </si>
  <si>
    <t>South Africa</t>
  </si>
  <si>
    <t>Israel</t>
  </si>
  <si>
    <t>Turkey</t>
  </si>
  <si>
    <t>Mexico</t>
  </si>
  <si>
    <t>Qatar</t>
  </si>
  <si>
    <t>Cancer screening trial participants (baseline)</t>
  </si>
  <si>
    <t>Controls in a schizophrenia study (baseline)</t>
  </si>
  <si>
    <t>Controls in bipolar and schizophrenia study (baseline)</t>
  </si>
  <si>
    <r>
      <t xml:space="preserve">Pregnant women in ZIKA area </t>
    </r>
    <r>
      <rPr>
        <b/>
        <sz val="11"/>
        <color indexed="8"/>
        <rFont val="Calibri"/>
        <family val="2"/>
      </rPr>
      <t>cases</t>
    </r>
  </si>
  <si>
    <t>27</t>
  </si>
  <si>
    <t>20</t>
  </si>
  <si>
    <t>22</t>
  </si>
  <si>
    <t>23</t>
  </si>
  <si>
    <t>24</t>
  </si>
  <si>
    <t>21</t>
  </si>
  <si>
    <t>25</t>
  </si>
  <si>
    <t>26</t>
  </si>
  <si>
    <t>28</t>
  </si>
  <si>
    <t>29</t>
  </si>
  <si>
    <t>19</t>
  </si>
  <si>
    <t>17</t>
  </si>
  <si>
    <t>2016</t>
  </si>
  <si>
    <t>Abbai</t>
  </si>
  <si>
    <t>KwaZulu-Natal</t>
  </si>
  <si>
    <t>Women participating in an HIV trial (baseline)</t>
  </si>
  <si>
    <t>HerpeSelect IgG ELISA (Focus Technologies, Cypress, CA, USA)</t>
  </si>
  <si>
    <t>Range: &lt;25 - 35+</t>
  </si>
  <si>
    <t>Abdool Karim</t>
  </si>
  <si>
    <t>High school students</t>
  </si>
  <si>
    <t>HerpeSelect IgG ELISA (Focus Diagnostics, CA, USA)</t>
  </si>
  <si>
    <t>Range: 12-28</t>
  </si>
  <si>
    <t>Range: &lt;=15</t>
  </si>
  <si>
    <t>Range: 16-17</t>
  </si>
  <si>
    <t>Range: 18-19</t>
  </si>
  <si>
    <t>Range: 13-24</t>
  </si>
  <si>
    <t>2007-2010</t>
  </si>
  <si>
    <t>IgG ELISA (Kalon Biological)</t>
  </si>
  <si>
    <t>Mean: 22.2, standard deviation: 3.6 (tenofovir arm); mean: 21.6, standard deviation: 3.4 (placebo arm) for those HSV-negative</t>
  </si>
  <si>
    <t>Otieno, Akinyi, Gumbe</t>
  </si>
  <si>
    <t>2015, 2017, 2015</t>
  </si>
  <si>
    <t>Kenya</t>
  </si>
  <si>
    <t>Kisumu</t>
  </si>
  <si>
    <t>Sexually active, HIV-negative, non-pregnant adults</t>
  </si>
  <si>
    <t>Range: 16-34</t>
  </si>
  <si>
    <t>2007-2009</t>
  </si>
  <si>
    <t>Kalon HSV-2 IgG ELISA</t>
  </si>
  <si>
    <t>Anjulo</t>
  </si>
  <si>
    <t>Ethiopia</t>
  </si>
  <si>
    <t>Wolaita zone</t>
  </si>
  <si>
    <t>HerpeSelect 2 IgG ELISA (Focus Diagnostics, CA, USA)</t>
  </si>
  <si>
    <t>Mean: 24.15, standard deviation: 4.93, range: 15-40</t>
  </si>
  <si>
    <t>Range: &gt;=30</t>
  </si>
  <si>
    <t>Behling</t>
  </si>
  <si>
    <t>Western Province</t>
  </si>
  <si>
    <t>School students in an HIV prevention education trial (baseline)</t>
  </si>
  <si>
    <t>IgG ELISA (HerpeSelect 2, Focus diagnostics, Cypress, CA)</t>
  </si>
  <si>
    <t>Range: 18-22</t>
  </si>
  <si>
    <t>Bradley</t>
  </si>
  <si>
    <t>South Africa, Zambia</t>
  </si>
  <si>
    <t>Range: 18-44</t>
  </si>
  <si>
    <t>Celum</t>
  </si>
  <si>
    <t>9 sites</t>
  </si>
  <si>
    <t>Antibodies, EIA (Focus technologies, Cypress, CA), indeterminate clarified using HSV-2 specific Western blot</t>
  </si>
  <si>
    <t>Range: 26-36</t>
  </si>
  <si>
    <t>Chattopadhyay</t>
  </si>
  <si>
    <t>Women without cervical cancer</t>
  </si>
  <si>
    <t>IgG ELISA (HerpeSelect 2)</t>
  </si>
  <si>
    <t>Mean: 43, standard deviation: 8.5</t>
  </si>
  <si>
    <t xml:space="preserve">Daniels </t>
  </si>
  <si>
    <t>Durban</t>
  </si>
  <si>
    <t>2005-2009</t>
  </si>
  <si>
    <t>HIV-negative women in a trial of a microbicide (baseline)</t>
  </si>
  <si>
    <t>Median: 27, IQR: [23,37], range: 18-38+</t>
  </si>
  <si>
    <t>Malawi</t>
  </si>
  <si>
    <t>Fearon</t>
  </si>
  <si>
    <t>Agincourt HDSS</t>
  </si>
  <si>
    <t>HPTN 068</t>
  </si>
  <si>
    <t>IgG ELISA (Kalon Biologics, Guildford, UK)</t>
  </si>
  <si>
    <t>Mean: 15.5, median: 15, range: 13-20</t>
  </si>
  <si>
    <t>Glynn</t>
  </si>
  <si>
    <t>Karonga District</t>
  </si>
  <si>
    <t>specific enzyme immunoassay (Kalon Biological, Surrey, UK)</t>
  </si>
  <si>
    <t>Range: 15-30</t>
  </si>
  <si>
    <t>Hallfors, Luseno</t>
  </si>
  <si>
    <t>2015, 2014</t>
  </si>
  <si>
    <t>Siaya County</t>
  </si>
  <si>
    <t>HIV-negative school children in a trial of school fees to prevent HIV (baseline)</t>
  </si>
  <si>
    <t>HSV-2 ELISA (Kalon Biological, Guildford, UK); samples not negative (i.e., &gt;=0.9) tested using Western blot</t>
  </si>
  <si>
    <t>Mean: 14.9, standard deviation: 1.5, range: 11-21</t>
  </si>
  <si>
    <t>Hazel</t>
  </si>
  <si>
    <t>Namibia</t>
  </si>
  <si>
    <t>Kaokveld</t>
  </si>
  <si>
    <t>Mobile, rural pastoralists</t>
  </si>
  <si>
    <t>Biokit HSV-2 Rapid Test, digital photograph compared to photographic guide</t>
  </si>
  <si>
    <t>Range: &lt;=25</t>
  </si>
  <si>
    <t>Range: &gt;=46</t>
  </si>
  <si>
    <t>Kalu, Kalu</t>
  </si>
  <si>
    <t>2018, 2014</t>
  </si>
  <si>
    <t>Nigeria</t>
  </si>
  <si>
    <t>Benin</t>
  </si>
  <si>
    <t>Mean: 30.6, standard deviation: 5.2, range: 18-44</t>
  </si>
  <si>
    <t>Range: 16-20</t>
  </si>
  <si>
    <t>Range: 21-25</t>
  </si>
  <si>
    <t>Range: 26-30</t>
  </si>
  <si>
    <t>Range: 36-40</t>
  </si>
  <si>
    <t>Range: 41-45</t>
  </si>
  <si>
    <t>Luseno</t>
  </si>
  <si>
    <t>Zimbabwe</t>
  </si>
  <si>
    <t>Manicaland Province</t>
  </si>
  <si>
    <t>HIV-negative women</t>
  </si>
  <si>
    <t>Nakku-Joloba</t>
  </si>
  <si>
    <t>Uganda</t>
  </si>
  <si>
    <t>Kampala</t>
  </si>
  <si>
    <t>HerpeSelect 1 and 2 ELISA (Focus, Cypress, CA)</t>
  </si>
  <si>
    <t>Median: 26, IQR: [22,33]</t>
  </si>
  <si>
    <t>Range: 26+</t>
  </si>
  <si>
    <t>Nakubulwa</t>
  </si>
  <si>
    <t>Mulago</t>
  </si>
  <si>
    <t>Pregnant patients in an antenatal clinic, ward and labour ward</t>
  </si>
  <si>
    <t>HerpeSelect 2 IgG ELISA (Focus, Cypress, CA)</t>
  </si>
  <si>
    <t>Mean: 25.5, standard deviation: 5</t>
  </si>
  <si>
    <t>Norris</t>
  </si>
  <si>
    <t>Northern</t>
  </si>
  <si>
    <t>Male agricultural plantation residents</t>
  </si>
  <si>
    <t>Range: 18-45+</t>
  </si>
  <si>
    <t>Range: 25-33</t>
  </si>
  <si>
    <t>Range: 34-45</t>
  </si>
  <si>
    <t>Range: 45+</t>
  </si>
  <si>
    <t>Okoye</t>
  </si>
  <si>
    <t>Ogun State</t>
  </si>
  <si>
    <t>2016-2017</t>
  </si>
  <si>
    <t>Non-sex workers</t>
  </si>
  <si>
    <t>IgG and IgM (Calbiotech, El Cajon, USA; Quingdao Hightop Biotech, China)</t>
  </si>
  <si>
    <t>Range: 20-49</t>
  </si>
  <si>
    <t>Pascoe</t>
  </si>
  <si>
    <t>South-east</t>
  </si>
  <si>
    <t>18-22 year olds</t>
  </si>
  <si>
    <t>IgG type-specific (Focus HerpeSelect EIA, Focus, Cypress, CA)</t>
  </si>
  <si>
    <t>Median: 19, range: 18-22</t>
  </si>
  <si>
    <t>Perti</t>
  </si>
  <si>
    <t>Soweto</t>
  </si>
  <si>
    <t>Women in early labour, HIV status known</t>
  </si>
  <si>
    <t>IgG ELISA (Kalon Biological) confirmed by Western Blot</t>
  </si>
  <si>
    <t>Median: 26, range: 18-44</t>
  </si>
  <si>
    <t>390</t>
  </si>
  <si>
    <t>383</t>
  </si>
  <si>
    <t>Pettifor, Pettifor, Rosenberg, Stoner</t>
  </si>
  <si>
    <t>2016, 2016, 2015, 2017</t>
  </si>
  <si>
    <t>Mpumalanga Province</t>
  </si>
  <si>
    <t>HIV-negative females, grades 8-11, not married/pregnant, in a cash transfer trial (baseline)</t>
  </si>
  <si>
    <t>IgG ELISA (Kalon Biological), confirmed retrospectively</t>
  </si>
  <si>
    <t>Median: 15, IQR: [14,17]</t>
  </si>
  <si>
    <t>Sudfeld</t>
  </si>
  <si>
    <t xml:space="preserve">Machinga and Balaka </t>
  </si>
  <si>
    <t>MSAS</t>
  </si>
  <si>
    <t>Adolescents in primary school</t>
  </si>
  <si>
    <t>HSV2 IgG ELISA (Kalon Biological, Guildford, UK)</t>
  </si>
  <si>
    <t>Range: 17-20</t>
  </si>
  <si>
    <t>Winston</t>
  </si>
  <si>
    <t>West</t>
  </si>
  <si>
    <t xml:space="preserve">12-21 and spent days or days and nights on the street </t>
  </si>
  <si>
    <t>IgG ELISA (Kalon Biological, Surrey, UK)</t>
  </si>
  <si>
    <t>Median: 16, IQR: [13-19]</t>
  </si>
  <si>
    <t>Median: 15, IQR: [13-18]</t>
  </si>
  <si>
    <t>Median: 18, IQR: [15-20]</t>
  </si>
  <si>
    <t>Torrone</t>
  </si>
  <si>
    <t>Female clinic attendees</t>
  </si>
  <si>
    <t>Range: 15-24</t>
  </si>
  <si>
    <t>HIV prevention study participants (cohort and RCT, baseline)</t>
  </si>
  <si>
    <t>Zambia</t>
  </si>
  <si>
    <t>Range: 25-49</t>
  </si>
  <si>
    <t>Mean: 21.6, standard deviation: 3.4</t>
  </si>
  <si>
    <t>87 months</t>
  </si>
  <si>
    <t>Akinyi</t>
  </si>
  <si>
    <t>Western Kenya</t>
  </si>
  <si>
    <t>Adolescents and adults</t>
  </si>
  <si>
    <t>Daniels</t>
  </si>
  <si>
    <t>HIV-negative women in a trial of a microbicide (intervention and placebo groups combined)</t>
  </si>
  <si>
    <t>Range: 18-38+</t>
  </si>
  <si>
    <t>~783</t>
  </si>
  <si>
    <t>Kalu</t>
  </si>
  <si>
    <t>9 months</t>
  </si>
  <si>
    <t>5 years</t>
  </si>
  <si>
    <t>Pregnant women in an antenatal clinic, ward and labour ward</t>
  </si>
  <si>
    <t>Mean: 25.6, standard deviation: 5.3</t>
  </si>
  <si>
    <t>10 weeks</t>
  </si>
  <si>
    <t>Pettifor</t>
  </si>
  <si>
    <t>HIV-negative females, grades 8-11, not married/pregnant, in a cash transfer trial (control group)</t>
  </si>
  <si>
    <t>Median: 15, IQR: [14-17]</t>
  </si>
  <si>
    <t>3 years</t>
  </si>
  <si>
    <t>Kenya and Uganda</t>
  </si>
  <si>
    <t>HIV-1 serodiscordant couples in a trial of PrEP (placebo group)</t>
  </si>
  <si>
    <t>36 months</t>
  </si>
  <si>
    <t>Western Pacific</t>
  </si>
  <si>
    <t>South-East Asia</t>
  </si>
  <si>
    <t>WHO region</t>
  </si>
  <si>
    <t>Eastern Mediterranean</t>
  </si>
  <si>
    <t>the United Kingdom of Great Britain and Northern Ireland</t>
  </si>
  <si>
    <t>the United Republic of Tanzania</t>
  </si>
  <si>
    <t>the United States of America</t>
  </si>
  <si>
    <t>the Netherlands</t>
  </si>
  <si>
    <t>Lansing, MI</t>
  </si>
  <si>
    <r>
      <t>Follow up of HIV prevention trial</t>
    </r>
    <r>
      <rPr>
        <sz val="11"/>
        <color indexed="14"/>
        <rFont val="Calibri"/>
        <family val="2"/>
      </rPr>
      <t>?</t>
    </r>
  </si>
  <si>
    <t>HIV-negative women in a trial of tenofovir (baseline)</t>
  </si>
  <si>
    <t>HIV-negative controls (baseline)</t>
  </si>
  <si>
    <t>HIV-negative women attending community health centre</t>
  </si>
  <si>
    <t>Range: 25-30</t>
  </si>
  <si>
    <t>Median: 29, range: 15-44</t>
  </si>
  <si>
    <t>Mean: 26.5, standard deviation: 0.5</t>
  </si>
  <si>
    <t>Range: &gt;=27</t>
  </si>
  <si>
    <t>Median: 37</t>
  </si>
  <si>
    <t>Range: 18-&gt;55</t>
  </si>
  <si>
    <t>Range: &lt;20 - &gt;=30</t>
  </si>
  <si>
    <t>Range: 0.5-44</t>
  </si>
  <si>
    <t>Ref number</t>
  </si>
  <si>
    <t>21 years</t>
  </si>
  <si>
    <t>4 years</t>
  </si>
  <si>
    <t>5.6 years</t>
  </si>
  <si>
    <t>1 year</t>
  </si>
  <si>
    <t>HIV-negative women in a trial of tenofovir (placebo group)</t>
  </si>
  <si>
    <t>1.5 years</t>
  </si>
  <si>
    <t>Sex</t>
  </si>
  <si>
    <t>These data are for general populations only</t>
  </si>
  <si>
    <t>These data are from the literature search for HSV-1 and HSV-2 prevalence and incidence data published since the last review for the 2012 HSV infection estimates. This latest literature search identified studies with publication date from 2013 to 2018</t>
  </si>
  <si>
    <t>For data from earlier literature reviews please refer to earlier HSV infection estimates papers (see main article text for details)</t>
  </si>
  <si>
    <t>Participants of cash transfer trial on HIV acquisition (baseline)</t>
  </si>
  <si>
    <t>IgG ELISA (Bioprobes Milano - Italy)</t>
  </si>
  <si>
    <t>Range: 36-65</t>
  </si>
  <si>
    <t>IgG ELISA (Dia.Pro, Diagnostics Bioprobes srl., Italy)</t>
  </si>
  <si>
    <t>IgG ELISA (Dia. Pro. Diagnostic Bioprobes srl, Milano, Italy)</t>
  </si>
  <si>
    <t>Type-specific IgG assay</t>
  </si>
  <si>
    <t>53,34,43</t>
  </si>
  <si>
    <t>44,48</t>
  </si>
  <si>
    <t>46,47</t>
  </si>
  <si>
    <t>56,57,58,121</t>
  </si>
  <si>
    <t>85,84,86</t>
  </si>
  <si>
    <t>87,88,89</t>
  </si>
  <si>
    <t>Incidence unit (HSV-2)</t>
  </si>
  <si>
    <t>Incidence unit (HSV-1)</t>
  </si>
  <si>
    <t>Age (years)</t>
  </si>
  <si>
    <t>N tested for HSV-1 Ab</t>
  </si>
  <si>
    <t>N HSV-1 Ab+</t>
  </si>
  <si>
    <t>% HSV-1 infection</t>
  </si>
  <si>
    <t>N tested for HSV-2 Ab</t>
  </si>
  <si>
    <t>N HSV-2 Ab+</t>
  </si>
  <si>
    <t>% HSV-2 infection</t>
  </si>
  <si>
    <t>N incident HSV-2 infection</t>
  </si>
  <si>
    <t>Denom N HSV-2 infection</t>
  </si>
  <si>
    <t>N incident HSV-1 infection</t>
  </si>
  <si>
    <t>Denom N HSV-1 infection</t>
  </si>
  <si>
    <t>Mean: 28, standard deviation: 5</t>
  </si>
  <si>
    <t>Range: &gt;64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</si>
</sst>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indexed="8"/>
      <name val="Calibri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 Neue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 style="thin">
        <color indexed="8"/>
      </right>
      <top/>
      <bottom style="thin">
        <color indexed="24"/>
      </bottom>
      <diagonal/>
    </border>
    <border>
      <left style="thin">
        <color indexed="8"/>
      </left>
      <right style="thin">
        <color indexed="8"/>
      </right>
      <top/>
      <bottom style="thin">
        <color indexed="24"/>
      </bottom>
      <diagonal/>
    </border>
    <border>
      <left style="thin">
        <color indexed="8"/>
      </left>
      <right/>
      <top/>
      <bottom style="thin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24"/>
      </top>
      <bottom/>
      <diagonal/>
    </border>
    <border>
      <left style="thin">
        <color indexed="8"/>
      </left>
      <right/>
      <top style="thin">
        <color indexed="2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2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85">
    <xf numFmtId="0" fontId="0" fillId="0" borderId="0" xfId="0" applyFont="1" applyAlignment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/>
    <xf numFmtId="0" fontId="7" fillId="0" borderId="0" xfId="0" applyFont="1" applyFill="1" applyAlignment="1"/>
    <xf numFmtId="0" fontId="7" fillId="0" borderId="13" xfId="0" applyNumberFormat="1" applyFont="1" applyFill="1" applyBorder="1" applyAlignment="1"/>
    <xf numFmtId="0" fontId="7" fillId="0" borderId="13" xfId="0" applyFont="1" applyFill="1" applyBorder="1" applyAlignment="1"/>
    <xf numFmtId="1" fontId="0" fillId="0" borderId="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0" xfId="0" applyFont="1" applyAlignment="1"/>
    <xf numFmtId="49" fontId="9" fillId="0" borderId="1" xfId="0" applyNumberFormat="1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 style="thin">
          <color indexed="8"/>
        </vertical>
        <horizontal/>
      </border>
    </dxf>
    <dxf>
      <border outline="0">
        <top style="thin">
          <color indexed="2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2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/>
        <vertical style="thin">
          <color indexed="8"/>
        </vertical>
      </border>
    </dxf>
    <dxf>
      <numFmt numFmtId="164" formatCode="0.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numFmt numFmtId="164" formatCode="0.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8"/>
        </right>
        <vertical style="thin">
          <color indexed="8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1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95B3D7"/>
      <rgbColor rgb="FFAAAAAA"/>
      <rgbColor rgb="FFDBE5F1"/>
      <rgbColor rgb="FFD8E3F0"/>
      <rgbColor rgb="FFFF2600"/>
      <rgbColor rgb="FF3F3F3F"/>
      <rgbColor rgb="FF932092"/>
      <rgbColor rgb="FF0432FF"/>
      <rgbColor rgb="FFFFFF00"/>
      <rgbColor rgb="FFBDC0BF"/>
      <rgbColor rgb="FFA5A5A5"/>
      <rgbColor rgb="FFDBDBDB"/>
      <rgbColor rgb="FF8064A2"/>
      <rgbColor rgb="FFB2A1C7"/>
      <rgbColor rgb="FFE5DFE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41AB23-AB1D-4CA7-80E9-A885EB6E776F}" name="Table1" displayName="Table1" ref="A1:R592" totalsRowShown="0" headerRowDxfId="47" dataDxfId="45" headerRowBorderDxfId="46" tableBorderDxfId="44">
  <autoFilter ref="A1:R592" xr:uid="{E4660962-32CF-4653-95C1-11B1499FABE8}"/>
  <tableColumns count="18">
    <tableColumn id="2" xr3:uid="{CE919660-A85E-4FD8-ACBA-969013394FF3}" name="First author" dataDxfId="43"/>
    <tableColumn id="3" xr3:uid="{82C024E1-74D6-4A4B-B96C-32CF76D32027}" name="Year published" dataDxfId="42"/>
    <tableColumn id="4" xr3:uid="{4CDDC8DC-44AA-4166-A12A-A85FDA11D53E}" name="WHO region" dataDxfId="41"/>
    <tableColumn id="5" xr3:uid="{9E9104EF-3B8E-4D85-9E19-E13B90C86492}" name="Country or Area" dataDxfId="40"/>
    <tableColumn id="6" xr3:uid="{960F6452-5D13-4698-A5E5-6E62702FD1C1}" name="City/town/area" dataDxfId="39"/>
    <tableColumn id="7" xr3:uid="{F47FDBA0-F3BB-4181-90B4-C11A859076C4}" name="Study name" dataDxfId="38"/>
    <tableColumn id="8" xr3:uid="{CFAE7258-CD62-4BC6-9E6B-62181466F3DC}" name="Study year" dataDxfId="37"/>
    <tableColumn id="13" xr3:uid="{E4D1583E-BD4F-4E3C-8465-A2188F764828}" name="Group tested" dataDxfId="36"/>
    <tableColumn id="15" xr3:uid="{C8F1BE3F-A76B-4E55-BED9-FFB2A448F3F0}" name="Assay" dataDxfId="35"/>
    <tableColumn id="21" xr3:uid="{69EB9D9E-6FBA-46AB-BBA2-A63D5050A74B}" name="Sex" dataDxfId="34"/>
    <tableColumn id="22" xr3:uid="{BE3BF706-AB46-47B5-BA4B-F383DDB59C6F}" name="Age (years)" dataDxfId="33"/>
    <tableColumn id="23" xr3:uid="{2E0627EB-B09B-4049-953B-A8DFEA5D898A}" name="N tested for HSV-1 Ab" dataDxfId="32"/>
    <tableColumn id="24" xr3:uid="{3C4B7BCE-8A0D-41C5-9564-0DB2E064DF49}" name="N HSV-1 Ab+" dataDxfId="31"/>
    <tableColumn id="25" xr3:uid="{C537F09A-8D11-4195-98F0-08151E2C82FC}" name="% HSV-1 infection" dataDxfId="30"/>
    <tableColumn id="26" xr3:uid="{477D1CD3-14B4-4195-A146-DDFA018E061B}" name="N tested for HSV-2 Ab" dataDxfId="29"/>
    <tableColumn id="27" xr3:uid="{3DD5F981-3D2B-4627-86CA-112B166DDD65}" name="N HSV-2 Ab+" dataDxfId="28"/>
    <tableColumn id="28" xr3:uid="{0F660D4F-A487-47FE-924D-D45BDBCED1FB}" name="% HSV-2 infection" dataDxfId="27"/>
    <tableColumn id="29" xr3:uid="{6BF30D9F-73C1-4317-8C37-01719920A58C}" name="Ref number" dataDxfId="2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510A24-8C6C-4E8D-BB4B-6BDF36C64D80}" name="Table2" displayName="Table2" ref="A1:U64" totalsRowShown="0" headerRowDxfId="25" dataDxfId="23" headerRowBorderDxfId="24" tableBorderDxfId="22" totalsRowBorderDxfId="21">
  <autoFilter ref="A1:U64" xr:uid="{118B84D5-936C-48CB-AB52-4E3D8845CD51}"/>
  <tableColumns count="21">
    <tableColumn id="2" xr3:uid="{19758553-D119-469F-8536-8BF1BB61BB45}" name="First author" dataDxfId="20"/>
    <tableColumn id="3" xr3:uid="{E47B03E5-5354-4DB5-AFC7-B0DF82AEE09F}" name="Year published" dataDxfId="19"/>
    <tableColumn id="4" xr3:uid="{7221142A-0297-4BEA-BB37-146520BC501A}" name="WHO region" dataDxfId="18"/>
    <tableColumn id="5" xr3:uid="{3B718EA8-B917-4282-928F-5F2AFE44A770}" name="Country or Area" dataDxfId="17"/>
    <tableColumn id="6" xr3:uid="{BC37BFB1-DEAC-43A1-8D8D-98A011883C95}" name="City/town/area" dataDxfId="16"/>
    <tableColumn id="7" xr3:uid="{0E9C4775-4D5C-4D6C-8DC3-E0AACE688AD8}" name="Study name" dataDxfId="15"/>
    <tableColumn id="8" xr3:uid="{9B40EFBD-0E1E-47B3-89DF-87805F4DD327}" name="Study year" dataDxfId="14"/>
    <tableColumn id="11" xr3:uid="{DEAA16D5-304E-4601-8F0F-63B9AF59A71B}" name="Group tested" dataDxfId="13"/>
    <tableColumn id="13" xr3:uid="{13243AA3-B27F-48B5-AD31-29A197018BC2}" name="Assay" dataDxfId="12"/>
    <tableColumn id="19" xr3:uid="{B9BBBB8C-3DBE-4A8E-8262-0A9A2BBE1ECC}" name="Sex" dataDxfId="11"/>
    <tableColumn id="20" xr3:uid="{F5080AEA-CAE3-4F1C-825E-AA00E7BB10CA}" name="Age (years)" dataDxfId="10"/>
    <tableColumn id="21" xr3:uid="{29A1B12E-CC64-46A7-8372-B2E1BD3C423A}" name="Denom N HSV-1 infection" dataDxfId="9"/>
    <tableColumn id="22" xr3:uid="{63511FCC-CF3C-4162-A6EF-FDE43062729B}" name="N incident HSV-1 infection" dataDxfId="8"/>
    <tableColumn id="23" xr3:uid="{C5D11C8F-2F1D-47DC-BAEE-41C979E74C63}" name="HSV-1 incidence" dataDxfId="7"/>
    <tableColumn id="24" xr3:uid="{2A6EE8B5-0F96-4352-9F2D-F68D5C972F42}" name="Incidence unit (HSV-1)" dataDxfId="6"/>
    <tableColumn id="25" xr3:uid="{7C0B75E8-77FE-4C59-8C7A-5259FB26A9C5}" name="Denom N HSV-2 infection" dataDxfId="5"/>
    <tableColumn id="26" xr3:uid="{19763AFF-8A3E-4185-B540-0F9362C34CAD}" name="N incident HSV-2 infection" dataDxfId="4"/>
    <tableColumn id="27" xr3:uid="{F03544B6-8B61-4320-88CB-D404A86DDA49}" name="HSV-2 incidence" dataDxfId="3"/>
    <tableColumn id="28" xr3:uid="{6CF4CC25-DF3E-4F70-9848-633F176AD0B4}" name="Incidence unit (HSV-2)" dataDxfId="2"/>
    <tableColumn id="29" xr3:uid="{3912BA48-1064-41CB-9CB7-D77BBFF44A52}" name="Length of follow-up" dataDxfId="1"/>
    <tableColumn id="30" xr3:uid="{54841533-1EFC-4FFE-80AA-4A4E5BDCDB27}" name="Ref number" dataDxfId="0"/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592"/>
  <sheetViews>
    <sheetView showGridLines="0" tabSelected="1" zoomScale="55" zoomScaleNormal="55" workbookViewId="0">
      <selection activeCell="A2" sqref="A2"/>
    </sheetView>
  </sheetViews>
  <sheetFormatPr defaultColWidth="8.81640625" defaultRowHeight="15" customHeight="1"/>
  <cols>
    <col min="1" max="1" width="22.453125" style="33" customWidth="1"/>
    <col min="2" max="2" width="17.26953125" style="39" customWidth="1"/>
    <col min="3" max="3" width="26.81640625" style="39" customWidth="1"/>
    <col min="4" max="4" width="22.26953125" style="39" customWidth="1"/>
    <col min="5" max="5" width="21" style="39" customWidth="1"/>
    <col min="6" max="6" width="15" style="39" customWidth="1"/>
    <col min="7" max="7" width="13.26953125" style="39" customWidth="1"/>
    <col min="8" max="9" width="59.1796875" style="39" customWidth="1"/>
    <col min="10" max="10" width="18.453125" style="39" customWidth="1"/>
    <col min="11" max="11" width="10.453125" style="39" customWidth="1"/>
    <col min="12" max="12" width="12" style="33" customWidth="1"/>
    <col min="13" max="18" width="12" style="39" customWidth="1"/>
    <col min="19" max="19" width="34.1796875" style="33" customWidth="1"/>
    <col min="20" max="234" width="8.81640625" style="33" customWidth="1"/>
    <col min="235" max="16384" width="8.81640625" style="34"/>
  </cols>
  <sheetData>
    <row r="1" spans="1:242" ht="15" customHeight="1">
      <c r="A1" s="64" t="s">
        <v>0</v>
      </c>
      <c r="B1" s="40" t="s">
        <v>1</v>
      </c>
      <c r="C1" s="40" t="s">
        <v>606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632</v>
      </c>
      <c r="K1" s="40" t="s">
        <v>650</v>
      </c>
      <c r="L1" s="40" t="s">
        <v>651</v>
      </c>
      <c r="M1" s="40" t="s">
        <v>652</v>
      </c>
      <c r="N1" s="40" t="s">
        <v>653</v>
      </c>
      <c r="O1" s="40" t="s">
        <v>654</v>
      </c>
      <c r="P1" s="40" t="s">
        <v>655</v>
      </c>
      <c r="Q1" s="40" t="s">
        <v>656</v>
      </c>
      <c r="R1" s="76" t="s">
        <v>625</v>
      </c>
      <c r="HZ1" s="34"/>
    </row>
    <row r="2" spans="1:242" ht="15" customHeight="1">
      <c r="A2" s="65" t="s">
        <v>433</v>
      </c>
      <c r="B2" s="41">
        <v>2015</v>
      </c>
      <c r="C2" s="38" t="s">
        <v>206</v>
      </c>
      <c r="D2" s="38" t="s">
        <v>411</v>
      </c>
      <c r="E2" s="38" t="s">
        <v>434</v>
      </c>
      <c r="F2" s="38" t="s">
        <v>332</v>
      </c>
      <c r="G2" s="38" t="s">
        <v>118</v>
      </c>
      <c r="H2" s="42" t="s">
        <v>435</v>
      </c>
      <c r="I2" s="38" t="s">
        <v>436</v>
      </c>
      <c r="J2" s="38" t="s">
        <v>11</v>
      </c>
      <c r="K2" s="38" t="s">
        <v>437</v>
      </c>
      <c r="L2" s="38" t="s">
        <v>10</v>
      </c>
      <c r="M2" s="38" t="s">
        <v>10</v>
      </c>
      <c r="N2" s="44" t="s">
        <v>10</v>
      </c>
      <c r="O2" s="43">
        <v>3472</v>
      </c>
      <c r="P2" s="43">
        <v>2218</v>
      </c>
      <c r="Q2" s="44">
        <v>73</v>
      </c>
      <c r="R2" s="41">
        <v>31</v>
      </c>
      <c r="IA2" s="33"/>
      <c r="IB2" s="33"/>
      <c r="IC2" s="33"/>
      <c r="ID2" s="33"/>
      <c r="IE2" s="33"/>
      <c r="IF2" s="33"/>
      <c r="IG2" s="33"/>
      <c r="IH2" s="33"/>
    </row>
    <row r="3" spans="1:242" ht="15" customHeight="1">
      <c r="A3" s="65" t="s">
        <v>438</v>
      </c>
      <c r="B3" s="41">
        <v>2014</v>
      </c>
      <c r="C3" s="38" t="s">
        <v>206</v>
      </c>
      <c r="D3" s="38" t="s">
        <v>411</v>
      </c>
      <c r="E3" s="38" t="s">
        <v>434</v>
      </c>
      <c r="F3" s="38" t="s">
        <v>9</v>
      </c>
      <c r="G3" s="41">
        <v>2010</v>
      </c>
      <c r="H3" s="38" t="s">
        <v>439</v>
      </c>
      <c r="I3" s="38" t="s">
        <v>440</v>
      </c>
      <c r="J3" s="38" t="s">
        <v>16</v>
      </c>
      <c r="K3" s="38" t="s">
        <v>441</v>
      </c>
      <c r="L3" s="38" t="s">
        <v>10</v>
      </c>
      <c r="M3" s="38" t="s">
        <v>10</v>
      </c>
      <c r="N3" s="44" t="s">
        <v>10</v>
      </c>
      <c r="O3" s="43">
        <f>(1252+1423)</f>
        <v>2675</v>
      </c>
      <c r="P3" s="43">
        <f>(38+148)</f>
        <v>186</v>
      </c>
      <c r="Q3" s="44">
        <f>P3/O3*100</f>
        <v>6.9532710280373831</v>
      </c>
      <c r="R3" s="41">
        <v>32</v>
      </c>
      <c r="IA3" s="33"/>
      <c r="IB3" s="33"/>
      <c r="IC3" s="33"/>
      <c r="ID3" s="33"/>
      <c r="IE3" s="33"/>
      <c r="IF3" s="33"/>
      <c r="IG3" s="33"/>
      <c r="IH3" s="33"/>
    </row>
    <row r="4" spans="1:242" ht="15" customHeight="1">
      <c r="A4" s="65" t="s">
        <v>438</v>
      </c>
      <c r="B4" s="41">
        <v>2014</v>
      </c>
      <c r="C4" s="38" t="s">
        <v>206</v>
      </c>
      <c r="D4" s="38" t="s">
        <v>411</v>
      </c>
      <c r="E4" s="38" t="s">
        <v>434</v>
      </c>
      <c r="F4" s="38" t="s">
        <v>9</v>
      </c>
      <c r="G4" s="41">
        <v>2010</v>
      </c>
      <c r="H4" s="38" t="s">
        <v>439</v>
      </c>
      <c r="I4" s="38" t="s">
        <v>440</v>
      </c>
      <c r="J4" s="38" t="s">
        <v>16</v>
      </c>
      <c r="K4" s="38" t="s">
        <v>442</v>
      </c>
      <c r="L4" s="38" t="s">
        <v>10</v>
      </c>
      <c r="M4" s="38" t="s">
        <v>10</v>
      </c>
      <c r="N4" s="44" t="s">
        <v>10</v>
      </c>
      <c r="O4" s="43">
        <f t="shared" ref="O4:P7" si="0">O9+O14</f>
        <v>887</v>
      </c>
      <c r="P4" s="43">
        <f t="shared" si="0"/>
        <v>26</v>
      </c>
      <c r="Q4" s="44">
        <f>P4/O4*100</f>
        <v>2.931228861330327</v>
      </c>
      <c r="R4" s="41">
        <v>32</v>
      </c>
      <c r="IA4" s="33"/>
      <c r="IB4" s="33"/>
      <c r="IC4" s="33"/>
      <c r="ID4" s="33"/>
      <c r="IE4" s="33"/>
      <c r="IF4" s="33"/>
      <c r="IG4" s="33"/>
      <c r="IH4" s="33"/>
    </row>
    <row r="5" spans="1:242" ht="15" customHeight="1">
      <c r="A5" s="65" t="s">
        <v>438</v>
      </c>
      <c r="B5" s="41">
        <v>2014</v>
      </c>
      <c r="C5" s="38" t="s">
        <v>206</v>
      </c>
      <c r="D5" s="38" t="s">
        <v>411</v>
      </c>
      <c r="E5" s="38" t="s">
        <v>434</v>
      </c>
      <c r="F5" s="38" t="s">
        <v>9</v>
      </c>
      <c r="G5" s="41">
        <v>2010</v>
      </c>
      <c r="H5" s="38" t="s">
        <v>439</v>
      </c>
      <c r="I5" s="38" t="s">
        <v>440</v>
      </c>
      <c r="J5" s="38" t="s">
        <v>16</v>
      </c>
      <c r="K5" s="38" t="s">
        <v>443</v>
      </c>
      <c r="L5" s="38" t="s">
        <v>10</v>
      </c>
      <c r="M5" s="38" t="s">
        <v>10</v>
      </c>
      <c r="N5" s="44" t="s">
        <v>10</v>
      </c>
      <c r="O5" s="43">
        <f t="shared" si="0"/>
        <v>1042</v>
      </c>
      <c r="P5" s="43">
        <f t="shared" si="0"/>
        <v>56</v>
      </c>
      <c r="Q5" s="44">
        <f>P5/O5*100</f>
        <v>5.3742802303262955</v>
      </c>
      <c r="R5" s="41">
        <v>32</v>
      </c>
      <c r="IA5" s="33"/>
      <c r="IB5" s="33"/>
      <c r="IC5" s="33"/>
      <c r="ID5" s="33"/>
      <c r="IE5" s="33"/>
      <c r="IF5" s="33"/>
      <c r="IG5" s="33"/>
      <c r="IH5" s="33"/>
    </row>
    <row r="6" spans="1:242" ht="15" customHeight="1">
      <c r="A6" s="65" t="s">
        <v>438</v>
      </c>
      <c r="B6" s="41">
        <v>2014</v>
      </c>
      <c r="C6" s="38" t="s">
        <v>206</v>
      </c>
      <c r="D6" s="38" t="s">
        <v>411</v>
      </c>
      <c r="E6" s="38" t="s">
        <v>434</v>
      </c>
      <c r="F6" s="38" t="s">
        <v>9</v>
      </c>
      <c r="G6" s="41">
        <v>2010</v>
      </c>
      <c r="H6" s="38" t="s">
        <v>439</v>
      </c>
      <c r="I6" s="38" t="s">
        <v>440</v>
      </c>
      <c r="J6" s="38" t="s">
        <v>16</v>
      </c>
      <c r="K6" s="38" t="s">
        <v>444</v>
      </c>
      <c r="L6" s="38" t="s">
        <v>10</v>
      </c>
      <c r="M6" s="38" t="s">
        <v>10</v>
      </c>
      <c r="N6" s="44" t="s">
        <v>10</v>
      </c>
      <c r="O6" s="43">
        <f t="shared" si="0"/>
        <v>556</v>
      </c>
      <c r="P6" s="43">
        <f t="shared" si="0"/>
        <v>69</v>
      </c>
      <c r="Q6" s="44">
        <f>P6/O6*100</f>
        <v>12.410071942446043</v>
      </c>
      <c r="R6" s="41">
        <v>32</v>
      </c>
      <c r="IA6" s="33"/>
      <c r="IB6" s="33"/>
      <c r="IC6" s="33"/>
      <c r="ID6" s="33"/>
      <c r="IE6" s="33"/>
      <c r="IF6" s="33"/>
      <c r="IG6" s="33"/>
      <c r="IH6" s="33"/>
    </row>
    <row r="7" spans="1:242" ht="15" customHeight="1">
      <c r="A7" s="65" t="s">
        <v>438</v>
      </c>
      <c r="B7" s="41">
        <v>2014</v>
      </c>
      <c r="C7" s="38" t="s">
        <v>206</v>
      </c>
      <c r="D7" s="38" t="s">
        <v>411</v>
      </c>
      <c r="E7" s="38" t="s">
        <v>434</v>
      </c>
      <c r="F7" s="38" t="s">
        <v>9</v>
      </c>
      <c r="G7" s="41">
        <v>2010</v>
      </c>
      <c r="H7" s="38" t="s">
        <v>439</v>
      </c>
      <c r="I7" s="38" t="s">
        <v>440</v>
      </c>
      <c r="J7" s="38" t="s">
        <v>16</v>
      </c>
      <c r="K7" s="38" t="s">
        <v>65</v>
      </c>
      <c r="L7" s="38" t="s">
        <v>10</v>
      </c>
      <c r="M7" s="38" t="s">
        <v>10</v>
      </c>
      <c r="N7" s="44" t="s">
        <v>10</v>
      </c>
      <c r="O7" s="43">
        <f t="shared" si="0"/>
        <v>189</v>
      </c>
      <c r="P7" s="43">
        <f t="shared" si="0"/>
        <v>35</v>
      </c>
      <c r="Q7" s="44">
        <f>P7/O7*100</f>
        <v>18.518518518518519</v>
      </c>
      <c r="R7" s="41">
        <v>32</v>
      </c>
      <c r="IA7" s="33"/>
      <c r="IB7" s="33"/>
      <c r="IC7" s="33"/>
      <c r="ID7" s="33"/>
      <c r="IE7" s="33"/>
      <c r="IF7" s="33"/>
      <c r="IG7" s="33"/>
      <c r="IH7" s="33"/>
    </row>
    <row r="8" spans="1:242" ht="15" customHeight="1">
      <c r="A8" s="65" t="s">
        <v>438</v>
      </c>
      <c r="B8" s="41">
        <v>2014</v>
      </c>
      <c r="C8" s="38" t="s">
        <v>206</v>
      </c>
      <c r="D8" s="38" t="s">
        <v>411</v>
      </c>
      <c r="E8" s="38" t="s">
        <v>434</v>
      </c>
      <c r="F8" s="38" t="s">
        <v>9</v>
      </c>
      <c r="G8" s="41">
        <v>2010</v>
      </c>
      <c r="H8" s="38" t="s">
        <v>439</v>
      </c>
      <c r="I8" s="38" t="s">
        <v>440</v>
      </c>
      <c r="J8" s="38" t="s">
        <v>23</v>
      </c>
      <c r="K8" s="38" t="s">
        <v>441</v>
      </c>
      <c r="L8" s="38" t="s">
        <v>10</v>
      </c>
      <c r="M8" s="38" t="s">
        <v>10</v>
      </c>
      <c r="N8" s="44" t="s">
        <v>10</v>
      </c>
      <c r="O8" s="43">
        <v>1252</v>
      </c>
      <c r="P8" s="43">
        <v>38</v>
      </c>
      <c r="Q8" s="44">
        <v>2.6</v>
      </c>
      <c r="R8" s="41">
        <v>32</v>
      </c>
      <c r="IA8" s="33"/>
      <c r="IB8" s="33"/>
      <c r="IC8" s="33"/>
      <c r="ID8" s="33"/>
      <c r="IE8" s="33"/>
      <c r="IF8" s="33"/>
      <c r="IG8" s="33"/>
      <c r="IH8" s="33"/>
    </row>
    <row r="9" spans="1:242" ht="15" customHeight="1">
      <c r="A9" s="65" t="s">
        <v>438</v>
      </c>
      <c r="B9" s="41">
        <v>2014</v>
      </c>
      <c r="C9" s="38" t="s">
        <v>206</v>
      </c>
      <c r="D9" s="38" t="s">
        <v>411</v>
      </c>
      <c r="E9" s="38" t="s">
        <v>434</v>
      </c>
      <c r="F9" s="38" t="s">
        <v>9</v>
      </c>
      <c r="G9" s="41">
        <v>2010</v>
      </c>
      <c r="H9" s="38" t="s">
        <v>439</v>
      </c>
      <c r="I9" s="38" t="s">
        <v>440</v>
      </c>
      <c r="J9" s="38" t="s">
        <v>23</v>
      </c>
      <c r="K9" s="38" t="s">
        <v>442</v>
      </c>
      <c r="L9" s="38" t="s">
        <v>10</v>
      </c>
      <c r="M9" s="38" t="s">
        <v>10</v>
      </c>
      <c r="N9" s="44" t="s">
        <v>10</v>
      </c>
      <c r="O9" s="43">
        <v>297</v>
      </c>
      <c r="P9" s="43">
        <v>2</v>
      </c>
      <c r="Q9" s="44">
        <f>P9/O9*100</f>
        <v>0.67340067340067333</v>
      </c>
      <c r="R9" s="41">
        <v>32</v>
      </c>
      <c r="IA9" s="33"/>
      <c r="IB9" s="33"/>
      <c r="IC9" s="33"/>
      <c r="ID9" s="33"/>
      <c r="IE9" s="33"/>
      <c r="IF9" s="33"/>
      <c r="IG9" s="33"/>
      <c r="IH9" s="33"/>
    </row>
    <row r="10" spans="1:242" ht="15" customHeight="1">
      <c r="A10" s="65" t="s">
        <v>438</v>
      </c>
      <c r="B10" s="41">
        <v>2014</v>
      </c>
      <c r="C10" s="38" t="s">
        <v>206</v>
      </c>
      <c r="D10" s="38" t="s">
        <v>411</v>
      </c>
      <c r="E10" s="38" t="s">
        <v>434</v>
      </c>
      <c r="F10" s="38" t="s">
        <v>9</v>
      </c>
      <c r="G10" s="41">
        <v>2010</v>
      </c>
      <c r="H10" s="38" t="s">
        <v>439</v>
      </c>
      <c r="I10" s="38" t="s">
        <v>440</v>
      </c>
      <c r="J10" s="38" t="s">
        <v>23</v>
      </c>
      <c r="K10" s="38" t="s">
        <v>443</v>
      </c>
      <c r="L10" s="38" t="s">
        <v>10</v>
      </c>
      <c r="M10" s="38" t="s">
        <v>10</v>
      </c>
      <c r="N10" s="44" t="s">
        <v>10</v>
      </c>
      <c r="O10" s="43">
        <v>505</v>
      </c>
      <c r="P10" s="43">
        <v>10</v>
      </c>
      <c r="Q10" s="44">
        <f>P10/O10*100</f>
        <v>1.9801980198019802</v>
      </c>
      <c r="R10" s="41">
        <v>32</v>
      </c>
      <c r="IA10" s="33"/>
      <c r="IB10" s="33"/>
      <c r="IC10" s="33"/>
      <c r="ID10" s="33"/>
      <c r="IE10" s="33"/>
      <c r="IF10" s="33"/>
      <c r="IG10" s="33"/>
      <c r="IH10" s="33"/>
    </row>
    <row r="11" spans="1:242" ht="15" customHeight="1">
      <c r="A11" s="65" t="s">
        <v>438</v>
      </c>
      <c r="B11" s="41">
        <v>2014</v>
      </c>
      <c r="C11" s="38" t="s">
        <v>206</v>
      </c>
      <c r="D11" s="38" t="s">
        <v>411</v>
      </c>
      <c r="E11" s="38" t="s">
        <v>434</v>
      </c>
      <c r="F11" s="38" t="s">
        <v>9</v>
      </c>
      <c r="G11" s="41">
        <v>2010</v>
      </c>
      <c r="H11" s="38" t="s">
        <v>439</v>
      </c>
      <c r="I11" s="38" t="s">
        <v>440</v>
      </c>
      <c r="J11" s="38" t="s">
        <v>23</v>
      </c>
      <c r="K11" s="38" t="s">
        <v>444</v>
      </c>
      <c r="L11" s="38" t="s">
        <v>10</v>
      </c>
      <c r="M11" s="38" t="s">
        <v>10</v>
      </c>
      <c r="N11" s="44" t="s">
        <v>10</v>
      </c>
      <c r="O11" s="43">
        <v>344</v>
      </c>
      <c r="P11" s="43">
        <v>21</v>
      </c>
      <c r="Q11" s="44">
        <v>6.6</v>
      </c>
      <c r="R11" s="41">
        <v>32</v>
      </c>
      <c r="IA11" s="33"/>
      <c r="IB11" s="33"/>
      <c r="IC11" s="33"/>
      <c r="ID11" s="33"/>
      <c r="IE11" s="33"/>
      <c r="IF11" s="33"/>
      <c r="IG11" s="33"/>
      <c r="IH11" s="33"/>
    </row>
    <row r="12" spans="1:242" ht="15" customHeight="1">
      <c r="A12" s="65" t="s">
        <v>438</v>
      </c>
      <c r="B12" s="41">
        <v>2014</v>
      </c>
      <c r="C12" s="38" t="s">
        <v>206</v>
      </c>
      <c r="D12" s="38" t="s">
        <v>411</v>
      </c>
      <c r="E12" s="38" t="s">
        <v>434</v>
      </c>
      <c r="F12" s="38" t="s">
        <v>9</v>
      </c>
      <c r="G12" s="41">
        <v>2010</v>
      </c>
      <c r="H12" s="38" t="s">
        <v>439</v>
      </c>
      <c r="I12" s="38" t="s">
        <v>440</v>
      </c>
      <c r="J12" s="38" t="s">
        <v>23</v>
      </c>
      <c r="K12" s="38" t="s">
        <v>65</v>
      </c>
      <c r="L12" s="38" t="s">
        <v>10</v>
      </c>
      <c r="M12" s="38" t="s">
        <v>10</v>
      </c>
      <c r="N12" s="44" t="s">
        <v>10</v>
      </c>
      <c r="O12" s="43">
        <v>106</v>
      </c>
      <c r="P12" s="43">
        <v>5</v>
      </c>
      <c r="Q12" s="44">
        <v>3.5</v>
      </c>
      <c r="R12" s="41">
        <v>32</v>
      </c>
      <c r="IA12" s="33"/>
      <c r="IB12" s="33"/>
      <c r="IC12" s="33"/>
      <c r="ID12" s="33"/>
      <c r="IE12" s="33"/>
      <c r="IF12" s="33"/>
      <c r="IG12" s="33"/>
      <c r="IH12" s="33"/>
    </row>
    <row r="13" spans="1:242" ht="15" customHeight="1">
      <c r="A13" s="65" t="s">
        <v>438</v>
      </c>
      <c r="B13" s="41">
        <v>2014</v>
      </c>
      <c r="C13" s="38" t="s">
        <v>206</v>
      </c>
      <c r="D13" s="38" t="s">
        <v>411</v>
      </c>
      <c r="E13" s="38" t="s">
        <v>434</v>
      </c>
      <c r="F13" s="38" t="s">
        <v>9</v>
      </c>
      <c r="G13" s="41">
        <v>2010</v>
      </c>
      <c r="H13" s="38" t="s">
        <v>439</v>
      </c>
      <c r="I13" s="38" t="s">
        <v>440</v>
      </c>
      <c r="J13" s="38" t="s">
        <v>11</v>
      </c>
      <c r="K13" s="38" t="s">
        <v>445</v>
      </c>
      <c r="L13" s="38" t="s">
        <v>10</v>
      </c>
      <c r="M13" s="38" t="s">
        <v>10</v>
      </c>
      <c r="N13" s="44" t="s">
        <v>10</v>
      </c>
      <c r="O13" s="43">
        <v>1423</v>
      </c>
      <c r="P13" s="43">
        <v>148</v>
      </c>
      <c r="Q13" s="44">
        <v>10.7</v>
      </c>
      <c r="R13" s="41">
        <v>32</v>
      </c>
      <c r="IA13" s="33"/>
      <c r="IB13" s="33"/>
      <c r="IC13" s="33"/>
      <c r="ID13" s="33"/>
      <c r="IE13" s="33"/>
      <c r="IF13" s="33"/>
      <c r="IG13" s="33"/>
      <c r="IH13" s="33"/>
    </row>
    <row r="14" spans="1:242" ht="15" customHeight="1">
      <c r="A14" s="65" t="s">
        <v>438</v>
      </c>
      <c r="B14" s="41">
        <v>2014</v>
      </c>
      <c r="C14" s="38" t="s">
        <v>206</v>
      </c>
      <c r="D14" s="38" t="s">
        <v>411</v>
      </c>
      <c r="E14" s="38" t="s">
        <v>434</v>
      </c>
      <c r="F14" s="38" t="s">
        <v>9</v>
      </c>
      <c r="G14" s="41">
        <v>2010</v>
      </c>
      <c r="H14" s="38" t="s">
        <v>439</v>
      </c>
      <c r="I14" s="38" t="s">
        <v>440</v>
      </c>
      <c r="J14" s="38" t="s">
        <v>11</v>
      </c>
      <c r="K14" s="38" t="s">
        <v>442</v>
      </c>
      <c r="L14" s="38" t="s">
        <v>10</v>
      </c>
      <c r="M14" s="38" t="s">
        <v>10</v>
      </c>
      <c r="N14" s="44" t="s">
        <v>10</v>
      </c>
      <c r="O14" s="43">
        <v>590</v>
      </c>
      <c r="P14" s="43">
        <v>24</v>
      </c>
      <c r="Q14" s="44">
        <v>3.5</v>
      </c>
      <c r="R14" s="41">
        <v>32</v>
      </c>
      <c r="IA14" s="33"/>
      <c r="IB14" s="33"/>
      <c r="IC14" s="33"/>
      <c r="ID14" s="33"/>
      <c r="IE14" s="33"/>
      <c r="IF14" s="33"/>
      <c r="IG14" s="33"/>
      <c r="IH14" s="33"/>
    </row>
    <row r="15" spans="1:242" ht="15" customHeight="1">
      <c r="A15" s="65" t="s">
        <v>438</v>
      </c>
      <c r="B15" s="41">
        <v>2014</v>
      </c>
      <c r="C15" s="38" t="s">
        <v>206</v>
      </c>
      <c r="D15" s="38" t="s">
        <v>411</v>
      </c>
      <c r="E15" s="38" t="s">
        <v>434</v>
      </c>
      <c r="F15" s="38" t="s">
        <v>9</v>
      </c>
      <c r="G15" s="41">
        <v>2010</v>
      </c>
      <c r="H15" s="38" t="s">
        <v>439</v>
      </c>
      <c r="I15" s="38" t="s">
        <v>440</v>
      </c>
      <c r="J15" s="38" t="s">
        <v>11</v>
      </c>
      <c r="K15" s="38" t="s">
        <v>443</v>
      </c>
      <c r="L15" s="38" t="s">
        <v>10</v>
      </c>
      <c r="M15" s="38" t="s">
        <v>10</v>
      </c>
      <c r="N15" s="44" t="s">
        <v>10</v>
      </c>
      <c r="O15" s="43">
        <v>537</v>
      </c>
      <c r="P15" s="43">
        <v>46</v>
      </c>
      <c r="Q15" s="44">
        <v>9.3000000000000007</v>
      </c>
      <c r="R15" s="41">
        <v>32</v>
      </c>
      <c r="IA15" s="33"/>
      <c r="IB15" s="33"/>
      <c r="IC15" s="33"/>
      <c r="ID15" s="33"/>
      <c r="IE15" s="33"/>
      <c r="IF15" s="33"/>
      <c r="IG15" s="33"/>
      <c r="IH15" s="33"/>
    </row>
    <row r="16" spans="1:242" ht="15" customHeight="1">
      <c r="A16" s="65" t="s">
        <v>438</v>
      </c>
      <c r="B16" s="41">
        <v>2014</v>
      </c>
      <c r="C16" s="38" t="s">
        <v>206</v>
      </c>
      <c r="D16" s="38" t="s">
        <v>411</v>
      </c>
      <c r="E16" s="38" t="s">
        <v>434</v>
      </c>
      <c r="F16" s="38" t="s">
        <v>9</v>
      </c>
      <c r="G16" s="41">
        <v>2010</v>
      </c>
      <c r="H16" s="38" t="s">
        <v>439</v>
      </c>
      <c r="I16" s="38" t="s">
        <v>440</v>
      </c>
      <c r="J16" s="38" t="s">
        <v>11</v>
      </c>
      <c r="K16" s="38" t="s">
        <v>444</v>
      </c>
      <c r="L16" s="38" t="s">
        <v>10</v>
      </c>
      <c r="M16" s="38" t="s">
        <v>10</v>
      </c>
      <c r="N16" s="44" t="s">
        <v>10</v>
      </c>
      <c r="O16" s="43">
        <v>212</v>
      </c>
      <c r="P16" s="43">
        <v>48</v>
      </c>
      <c r="Q16" s="44">
        <v>30.2</v>
      </c>
      <c r="R16" s="41">
        <v>32</v>
      </c>
      <c r="IA16" s="33"/>
      <c r="IB16" s="33"/>
      <c r="IC16" s="33"/>
      <c r="ID16" s="33"/>
      <c r="IE16" s="33"/>
      <c r="IF16" s="33"/>
      <c r="IG16" s="33"/>
      <c r="IH16" s="33"/>
    </row>
    <row r="17" spans="1:242" ht="15" customHeight="1">
      <c r="A17" s="65" t="s">
        <v>438</v>
      </c>
      <c r="B17" s="41">
        <v>2014</v>
      </c>
      <c r="C17" s="38" t="s">
        <v>206</v>
      </c>
      <c r="D17" s="38" t="s">
        <v>411</v>
      </c>
      <c r="E17" s="38" t="s">
        <v>434</v>
      </c>
      <c r="F17" s="38" t="s">
        <v>9</v>
      </c>
      <c r="G17" s="41">
        <v>2010</v>
      </c>
      <c r="H17" s="38" t="s">
        <v>439</v>
      </c>
      <c r="I17" s="38" t="s">
        <v>440</v>
      </c>
      <c r="J17" s="38" t="s">
        <v>11</v>
      </c>
      <c r="K17" s="38" t="s">
        <v>65</v>
      </c>
      <c r="L17" s="38" t="s">
        <v>10</v>
      </c>
      <c r="M17" s="38" t="s">
        <v>10</v>
      </c>
      <c r="N17" s="44" t="s">
        <v>10</v>
      </c>
      <c r="O17" s="43">
        <v>83</v>
      </c>
      <c r="P17" s="43">
        <v>30</v>
      </c>
      <c r="Q17" s="44">
        <v>43.3</v>
      </c>
      <c r="R17" s="41">
        <v>32</v>
      </c>
      <c r="IA17" s="33"/>
      <c r="IB17" s="33"/>
      <c r="IC17" s="33"/>
      <c r="ID17" s="33"/>
      <c r="IE17" s="33"/>
      <c r="IF17" s="33"/>
      <c r="IG17" s="33"/>
      <c r="IH17" s="33"/>
    </row>
    <row r="18" spans="1:242" ht="15" customHeight="1">
      <c r="A18" s="65" t="s">
        <v>438</v>
      </c>
      <c r="B18" s="41">
        <v>2015</v>
      </c>
      <c r="C18" s="38" t="s">
        <v>206</v>
      </c>
      <c r="D18" s="38" t="s">
        <v>411</v>
      </c>
      <c r="E18" s="38" t="s">
        <v>9</v>
      </c>
      <c r="F18" s="38" t="s">
        <v>333</v>
      </c>
      <c r="G18" s="38" t="s">
        <v>446</v>
      </c>
      <c r="H18" s="42" t="s">
        <v>614</v>
      </c>
      <c r="I18" s="38" t="s">
        <v>447</v>
      </c>
      <c r="J18" s="38" t="s">
        <v>11</v>
      </c>
      <c r="K18" s="38" t="s">
        <v>448</v>
      </c>
      <c r="L18" s="38" t="s">
        <v>10</v>
      </c>
      <c r="M18" s="38" t="s">
        <v>10</v>
      </c>
      <c r="N18" s="44" t="s">
        <v>10</v>
      </c>
      <c r="O18" s="43">
        <v>883</v>
      </c>
      <c r="P18" s="43">
        <v>454</v>
      </c>
      <c r="Q18" s="44">
        <f t="shared" ref="Q18:Q25" si="1">100*P18/O18</f>
        <v>51.415628539071349</v>
      </c>
      <c r="R18" s="41">
        <v>33</v>
      </c>
      <c r="IA18" s="33"/>
      <c r="IB18" s="33"/>
      <c r="IC18" s="33"/>
      <c r="ID18" s="33"/>
      <c r="IE18" s="33"/>
      <c r="IF18" s="33"/>
      <c r="IG18" s="33"/>
      <c r="IH18" s="33"/>
    </row>
    <row r="19" spans="1:242" ht="15" customHeight="1">
      <c r="A19" s="65" t="s">
        <v>449</v>
      </c>
      <c r="B19" s="38" t="s">
        <v>450</v>
      </c>
      <c r="C19" s="38" t="s">
        <v>206</v>
      </c>
      <c r="D19" s="38" t="s">
        <v>451</v>
      </c>
      <c r="E19" s="38" t="s">
        <v>452</v>
      </c>
      <c r="F19" s="38" t="s">
        <v>334</v>
      </c>
      <c r="G19" s="38" t="s">
        <v>446</v>
      </c>
      <c r="H19" s="38" t="s">
        <v>453</v>
      </c>
      <c r="I19" s="38" t="s">
        <v>447</v>
      </c>
      <c r="J19" s="38" t="s">
        <v>16</v>
      </c>
      <c r="K19" s="38" t="s">
        <v>454</v>
      </c>
      <c r="L19" s="38" t="s">
        <v>10</v>
      </c>
      <c r="M19" s="38" t="s">
        <v>10</v>
      </c>
      <c r="N19" s="44" t="s">
        <v>10</v>
      </c>
      <c r="O19" s="43">
        <v>1024</v>
      </c>
      <c r="P19" s="43">
        <v>272</v>
      </c>
      <c r="Q19" s="44">
        <f t="shared" si="1"/>
        <v>26.5625</v>
      </c>
      <c r="R19" s="42" t="s">
        <v>642</v>
      </c>
      <c r="IA19" s="33"/>
      <c r="IB19" s="33"/>
      <c r="IC19" s="33"/>
      <c r="ID19" s="33"/>
      <c r="IE19" s="33"/>
      <c r="IF19" s="33"/>
      <c r="IG19" s="33"/>
      <c r="IH19" s="33"/>
    </row>
    <row r="20" spans="1:242" ht="15" customHeight="1">
      <c r="A20" s="65" t="s">
        <v>449</v>
      </c>
      <c r="B20" s="38" t="s">
        <v>450</v>
      </c>
      <c r="C20" s="38" t="s">
        <v>206</v>
      </c>
      <c r="D20" s="38" t="s">
        <v>451</v>
      </c>
      <c r="E20" s="38" t="s">
        <v>452</v>
      </c>
      <c r="F20" s="38" t="s">
        <v>334</v>
      </c>
      <c r="G20" s="38" t="s">
        <v>446</v>
      </c>
      <c r="H20" s="38" t="s">
        <v>453</v>
      </c>
      <c r="I20" s="38" t="s">
        <v>447</v>
      </c>
      <c r="J20" s="38" t="s">
        <v>16</v>
      </c>
      <c r="K20" s="38" t="s">
        <v>443</v>
      </c>
      <c r="L20" s="38" t="s">
        <v>10</v>
      </c>
      <c r="M20" s="38" t="s">
        <v>10</v>
      </c>
      <c r="N20" s="44" t="s">
        <v>10</v>
      </c>
      <c r="O20" s="43">
        <v>243</v>
      </c>
      <c r="P20" s="43">
        <v>26</v>
      </c>
      <c r="Q20" s="44">
        <f t="shared" si="1"/>
        <v>10.699588477366255</v>
      </c>
      <c r="R20" s="42" t="s">
        <v>642</v>
      </c>
      <c r="IA20" s="33"/>
      <c r="IB20" s="33"/>
      <c r="IC20" s="33"/>
      <c r="ID20" s="33"/>
      <c r="IE20" s="33"/>
      <c r="IF20" s="33"/>
      <c r="IG20" s="33"/>
      <c r="IH20" s="33"/>
    </row>
    <row r="21" spans="1:242" ht="15" customHeight="1">
      <c r="A21" s="65" t="s">
        <v>449</v>
      </c>
      <c r="B21" s="38" t="s">
        <v>450</v>
      </c>
      <c r="C21" s="38" t="s">
        <v>206</v>
      </c>
      <c r="D21" s="38" t="s">
        <v>451</v>
      </c>
      <c r="E21" s="38" t="s">
        <v>452</v>
      </c>
      <c r="F21" s="38" t="s">
        <v>334</v>
      </c>
      <c r="G21" s="38" t="s">
        <v>446</v>
      </c>
      <c r="H21" s="38" t="s">
        <v>453</v>
      </c>
      <c r="I21" s="38" t="s">
        <v>447</v>
      </c>
      <c r="J21" s="38" t="s">
        <v>16</v>
      </c>
      <c r="K21" s="38" t="s">
        <v>444</v>
      </c>
      <c r="L21" s="38" t="s">
        <v>10</v>
      </c>
      <c r="M21" s="38" t="s">
        <v>10</v>
      </c>
      <c r="N21" s="44" t="s">
        <v>10</v>
      </c>
      <c r="O21" s="43">
        <f>O27+O33</f>
        <v>105</v>
      </c>
      <c r="P21" s="43">
        <f>P33+P27</f>
        <v>18.487000000000002</v>
      </c>
      <c r="Q21" s="44">
        <f t="shared" si="1"/>
        <v>17.606666666666669</v>
      </c>
      <c r="R21" s="42" t="s">
        <v>642</v>
      </c>
      <c r="IA21" s="33"/>
      <c r="IB21" s="33"/>
      <c r="IC21" s="33"/>
      <c r="ID21" s="33"/>
      <c r="IE21" s="33"/>
      <c r="IF21" s="33"/>
      <c r="IG21" s="33"/>
      <c r="IH21" s="33"/>
    </row>
    <row r="22" spans="1:242" ht="15" customHeight="1">
      <c r="A22" s="65" t="s">
        <v>449</v>
      </c>
      <c r="B22" s="38" t="s">
        <v>450</v>
      </c>
      <c r="C22" s="38" t="s">
        <v>206</v>
      </c>
      <c r="D22" s="38" t="s">
        <v>451</v>
      </c>
      <c r="E22" s="38" t="s">
        <v>452</v>
      </c>
      <c r="F22" s="38" t="s">
        <v>334</v>
      </c>
      <c r="G22" s="38" t="s">
        <v>446</v>
      </c>
      <c r="H22" s="38" t="s">
        <v>453</v>
      </c>
      <c r="I22" s="38" t="s">
        <v>447</v>
      </c>
      <c r="J22" s="38" t="s">
        <v>16</v>
      </c>
      <c r="K22" s="38" t="s">
        <v>25</v>
      </c>
      <c r="L22" s="38" t="s">
        <v>10</v>
      </c>
      <c r="M22" s="38" t="s">
        <v>10</v>
      </c>
      <c r="N22" s="44" t="s">
        <v>10</v>
      </c>
      <c r="O22" s="43">
        <f>O28+O34</f>
        <v>520</v>
      </c>
      <c r="P22" s="43">
        <f>P34+P28</f>
        <v>152.13800000000001</v>
      </c>
      <c r="Q22" s="44">
        <f t="shared" si="1"/>
        <v>29.257307692307695</v>
      </c>
      <c r="R22" s="42" t="s">
        <v>642</v>
      </c>
      <c r="IA22" s="33"/>
      <c r="IB22" s="33"/>
      <c r="IC22" s="33"/>
      <c r="ID22" s="33"/>
      <c r="IE22" s="33"/>
      <c r="IF22" s="33"/>
      <c r="IG22" s="33"/>
      <c r="IH22" s="33"/>
    </row>
    <row r="23" spans="1:242" ht="15" customHeight="1">
      <c r="A23" s="65" t="s">
        <v>449</v>
      </c>
      <c r="B23" s="38" t="s">
        <v>450</v>
      </c>
      <c r="C23" s="38" t="s">
        <v>206</v>
      </c>
      <c r="D23" s="38" t="s">
        <v>451</v>
      </c>
      <c r="E23" s="38" t="s">
        <v>452</v>
      </c>
      <c r="F23" s="38" t="s">
        <v>334</v>
      </c>
      <c r="G23" s="38" t="s">
        <v>446</v>
      </c>
      <c r="H23" s="38" t="s">
        <v>453</v>
      </c>
      <c r="I23" s="38" t="s">
        <v>447</v>
      </c>
      <c r="J23" s="38" t="s">
        <v>16</v>
      </c>
      <c r="K23" s="38" t="s">
        <v>26</v>
      </c>
      <c r="L23" s="38" t="s">
        <v>10</v>
      </c>
      <c r="M23" s="38" t="s">
        <v>10</v>
      </c>
      <c r="N23" s="44" t="s">
        <v>10</v>
      </c>
      <c r="O23" s="43">
        <f>O29+O35</f>
        <v>149</v>
      </c>
      <c r="P23" s="43">
        <f>P35+P29</f>
        <v>57.470999999999997</v>
      </c>
      <c r="Q23" s="44">
        <f t="shared" si="1"/>
        <v>38.571140939597313</v>
      </c>
      <c r="R23" s="42" t="s">
        <v>642</v>
      </c>
      <c r="IA23" s="33"/>
      <c r="IB23" s="33"/>
      <c r="IC23" s="33"/>
      <c r="ID23" s="33"/>
      <c r="IE23" s="33"/>
      <c r="IF23" s="33"/>
      <c r="IG23" s="33"/>
      <c r="IH23" s="33"/>
    </row>
    <row r="24" spans="1:242" ht="15" customHeight="1">
      <c r="A24" s="65" t="s">
        <v>449</v>
      </c>
      <c r="B24" s="38" t="s">
        <v>450</v>
      </c>
      <c r="C24" s="38" t="s">
        <v>206</v>
      </c>
      <c r="D24" s="38" t="s">
        <v>451</v>
      </c>
      <c r="E24" s="38" t="s">
        <v>452</v>
      </c>
      <c r="F24" s="38" t="s">
        <v>334</v>
      </c>
      <c r="G24" s="38" t="s">
        <v>446</v>
      </c>
      <c r="H24" s="38" t="s">
        <v>453</v>
      </c>
      <c r="I24" s="38" t="s">
        <v>447</v>
      </c>
      <c r="J24" s="38" t="s">
        <v>16</v>
      </c>
      <c r="K24" s="38" t="s">
        <v>27</v>
      </c>
      <c r="L24" s="38" t="s">
        <v>10</v>
      </c>
      <c r="M24" s="38" t="s">
        <v>10</v>
      </c>
      <c r="N24" s="44" t="s">
        <v>10</v>
      </c>
      <c r="O24" s="43">
        <f>O30+O36</f>
        <v>62</v>
      </c>
      <c r="P24" s="43">
        <f>P36+P30</f>
        <v>38.500999999999998</v>
      </c>
      <c r="Q24" s="44">
        <f t="shared" si="1"/>
        <v>62.098387096774189</v>
      </c>
      <c r="R24" s="42" t="s">
        <v>642</v>
      </c>
      <c r="IA24" s="33"/>
      <c r="IB24" s="33"/>
      <c r="IC24" s="33"/>
      <c r="ID24" s="33"/>
      <c r="IE24" s="33"/>
      <c r="IF24" s="33"/>
      <c r="IG24" s="33"/>
      <c r="IH24" s="33"/>
    </row>
    <row r="25" spans="1:242" ht="15" customHeight="1">
      <c r="A25" s="65" t="s">
        <v>449</v>
      </c>
      <c r="B25" s="38" t="s">
        <v>450</v>
      </c>
      <c r="C25" s="38" t="s">
        <v>206</v>
      </c>
      <c r="D25" s="38" t="s">
        <v>451</v>
      </c>
      <c r="E25" s="38" t="s">
        <v>452</v>
      </c>
      <c r="F25" s="38" t="s">
        <v>334</v>
      </c>
      <c r="G25" s="38" t="s">
        <v>446</v>
      </c>
      <c r="H25" s="38" t="s">
        <v>453</v>
      </c>
      <c r="I25" s="38" t="s">
        <v>447</v>
      </c>
      <c r="J25" s="38" t="s">
        <v>23</v>
      </c>
      <c r="K25" s="38" t="s">
        <v>454</v>
      </c>
      <c r="L25" s="38" t="s">
        <v>10</v>
      </c>
      <c r="M25" s="38" t="s">
        <v>10</v>
      </c>
      <c r="N25" s="44" t="s">
        <v>10</v>
      </c>
      <c r="O25" s="43">
        <v>492</v>
      </c>
      <c r="P25" s="43">
        <v>58</v>
      </c>
      <c r="Q25" s="44">
        <f t="shared" si="1"/>
        <v>11.788617886178862</v>
      </c>
      <c r="R25" s="42" t="s">
        <v>642</v>
      </c>
      <c r="IA25" s="33"/>
      <c r="IB25" s="33"/>
      <c r="IC25" s="33"/>
      <c r="ID25" s="33"/>
      <c r="IE25" s="33"/>
      <c r="IF25" s="33"/>
      <c r="IG25" s="33"/>
      <c r="IH25" s="33"/>
    </row>
    <row r="26" spans="1:242" ht="15" customHeight="1">
      <c r="A26" s="65" t="s">
        <v>449</v>
      </c>
      <c r="B26" s="38" t="s">
        <v>450</v>
      </c>
      <c r="C26" s="38" t="s">
        <v>206</v>
      </c>
      <c r="D26" s="38" t="s">
        <v>451</v>
      </c>
      <c r="E26" s="38" t="s">
        <v>452</v>
      </c>
      <c r="F26" s="38" t="s">
        <v>334</v>
      </c>
      <c r="G26" s="38" t="s">
        <v>446</v>
      </c>
      <c r="H26" s="38" t="s">
        <v>453</v>
      </c>
      <c r="I26" s="38" t="s">
        <v>447</v>
      </c>
      <c r="J26" s="38" t="s">
        <v>23</v>
      </c>
      <c r="K26" s="38" t="s">
        <v>443</v>
      </c>
      <c r="L26" s="38" t="s">
        <v>10</v>
      </c>
      <c r="M26" s="38" t="s">
        <v>10</v>
      </c>
      <c r="N26" s="44" t="s">
        <v>10</v>
      </c>
      <c r="O26" s="43">
        <f>P26*100/Q26</f>
        <v>105.26315789473685</v>
      </c>
      <c r="P26" s="43">
        <v>2</v>
      </c>
      <c r="Q26" s="44">
        <v>1.9</v>
      </c>
      <c r="R26" s="42" t="s">
        <v>642</v>
      </c>
      <c r="IA26" s="33"/>
      <c r="IB26" s="33"/>
      <c r="IC26" s="33"/>
      <c r="ID26" s="33"/>
      <c r="IE26" s="33"/>
      <c r="IF26" s="33"/>
      <c r="IG26" s="33"/>
      <c r="IH26" s="33"/>
    </row>
    <row r="27" spans="1:242" ht="15" customHeight="1">
      <c r="A27" s="65" t="s">
        <v>449</v>
      </c>
      <c r="B27" s="38" t="s">
        <v>450</v>
      </c>
      <c r="C27" s="38" t="s">
        <v>206</v>
      </c>
      <c r="D27" s="38" t="s">
        <v>451</v>
      </c>
      <c r="E27" s="38" t="s">
        <v>452</v>
      </c>
      <c r="F27" s="38" t="s">
        <v>334</v>
      </c>
      <c r="G27" s="38" t="s">
        <v>455</v>
      </c>
      <c r="H27" s="38" t="s">
        <v>453</v>
      </c>
      <c r="I27" s="38" t="s">
        <v>456</v>
      </c>
      <c r="J27" s="38" t="s">
        <v>23</v>
      </c>
      <c r="K27" s="38" t="s">
        <v>444</v>
      </c>
      <c r="L27" s="38" t="s">
        <v>10</v>
      </c>
      <c r="M27" s="38" t="s">
        <v>10</v>
      </c>
      <c r="N27" s="44" t="s">
        <v>10</v>
      </c>
      <c r="O27" s="43">
        <v>49</v>
      </c>
      <c r="P27" s="43">
        <f>Q27*O27/100</f>
        <v>3.0869999999999997</v>
      </c>
      <c r="Q27" s="44">
        <v>6.3</v>
      </c>
      <c r="R27" s="42" t="s">
        <v>642</v>
      </c>
      <c r="IA27" s="33"/>
      <c r="IB27" s="33"/>
      <c r="IC27" s="33"/>
      <c r="ID27" s="33"/>
      <c r="IE27" s="33"/>
      <c r="IF27" s="33"/>
      <c r="IG27" s="33"/>
      <c r="IH27" s="33"/>
    </row>
    <row r="28" spans="1:242" ht="15" customHeight="1">
      <c r="A28" s="65" t="s">
        <v>449</v>
      </c>
      <c r="B28" s="38" t="s">
        <v>450</v>
      </c>
      <c r="C28" s="38" t="s">
        <v>206</v>
      </c>
      <c r="D28" s="38" t="s">
        <v>451</v>
      </c>
      <c r="E28" s="38" t="s">
        <v>452</v>
      </c>
      <c r="F28" s="38" t="s">
        <v>334</v>
      </c>
      <c r="G28" s="38" t="s">
        <v>455</v>
      </c>
      <c r="H28" s="38" t="s">
        <v>453</v>
      </c>
      <c r="I28" s="38" t="s">
        <v>456</v>
      </c>
      <c r="J28" s="38" t="s">
        <v>23</v>
      </c>
      <c r="K28" s="38" t="s">
        <v>25</v>
      </c>
      <c r="L28" s="38" t="s">
        <v>10</v>
      </c>
      <c r="M28" s="38" t="s">
        <v>10</v>
      </c>
      <c r="N28" s="44" t="s">
        <v>10</v>
      </c>
      <c r="O28" s="43">
        <v>254</v>
      </c>
      <c r="P28" s="43">
        <f>Q28*O28/100</f>
        <v>28.447999999999997</v>
      </c>
      <c r="Q28" s="44">
        <v>11.2</v>
      </c>
      <c r="R28" s="42" t="s">
        <v>642</v>
      </c>
      <c r="IA28" s="33"/>
      <c r="IB28" s="33"/>
      <c r="IC28" s="33"/>
      <c r="ID28" s="33"/>
      <c r="IE28" s="33"/>
      <c r="IF28" s="33"/>
      <c r="IG28" s="33"/>
      <c r="IH28" s="33"/>
    </row>
    <row r="29" spans="1:242" ht="15" customHeight="1">
      <c r="A29" s="65" t="s">
        <v>449</v>
      </c>
      <c r="B29" s="38" t="s">
        <v>450</v>
      </c>
      <c r="C29" s="38" t="s">
        <v>206</v>
      </c>
      <c r="D29" s="38" t="s">
        <v>451</v>
      </c>
      <c r="E29" s="38" t="s">
        <v>452</v>
      </c>
      <c r="F29" s="38" t="s">
        <v>334</v>
      </c>
      <c r="G29" s="38" t="s">
        <v>455</v>
      </c>
      <c r="H29" s="38" t="s">
        <v>453</v>
      </c>
      <c r="I29" s="38" t="s">
        <v>456</v>
      </c>
      <c r="J29" s="38" t="s">
        <v>23</v>
      </c>
      <c r="K29" s="38" t="s">
        <v>26</v>
      </c>
      <c r="L29" s="38" t="s">
        <v>10</v>
      </c>
      <c r="M29" s="38" t="s">
        <v>10</v>
      </c>
      <c r="N29" s="44" t="s">
        <v>10</v>
      </c>
      <c r="O29" s="43">
        <v>76</v>
      </c>
      <c r="P29" s="43">
        <f>Q29*O29/100</f>
        <v>13.452</v>
      </c>
      <c r="Q29" s="44">
        <v>17.7</v>
      </c>
      <c r="R29" s="42" t="s">
        <v>642</v>
      </c>
      <c r="IA29" s="33"/>
      <c r="IB29" s="33"/>
      <c r="IC29" s="33"/>
      <c r="ID29" s="33"/>
      <c r="IE29" s="33"/>
      <c r="IF29" s="33"/>
      <c r="IG29" s="33"/>
      <c r="IH29" s="33"/>
    </row>
    <row r="30" spans="1:242" ht="15" customHeight="1">
      <c r="A30" s="65" t="s">
        <v>449</v>
      </c>
      <c r="B30" s="38" t="s">
        <v>450</v>
      </c>
      <c r="C30" s="38" t="s">
        <v>206</v>
      </c>
      <c r="D30" s="38" t="s">
        <v>451</v>
      </c>
      <c r="E30" s="38" t="s">
        <v>452</v>
      </c>
      <c r="F30" s="38" t="s">
        <v>334</v>
      </c>
      <c r="G30" s="38" t="s">
        <v>455</v>
      </c>
      <c r="H30" s="38" t="s">
        <v>453</v>
      </c>
      <c r="I30" s="38" t="s">
        <v>456</v>
      </c>
      <c r="J30" s="38" t="s">
        <v>23</v>
      </c>
      <c r="K30" s="38" t="s">
        <v>27</v>
      </c>
      <c r="L30" s="38" t="s">
        <v>10</v>
      </c>
      <c r="M30" s="38" t="s">
        <v>10</v>
      </c>
      <c r="N30" s="44" t="s">
        <v>10</v>
      </c>
      <c r="O30" s="43">
        <v>33</v>
      </c>
      <c r="P30" s="43">
        <f>Q30*O30/100</f>
        <v>15.938999999999998</v>
      </c>
      <c r="Q30" s="44">
        <v>48.3</v>
      </c>
      <c r="R30" s="42" t="s">
        <v>642</v>
      </c>
      <c r="IA30" s="33"/>
      <c r="IB30" s="33"/>
      <c r="IC30" s="33"/>
      <c r="ID30" s="33"/>
      <c r="IE30" s="33"/>
      <c r="IF30" s="33"/>
      <c r="IG30" s="33"/>
      <c r="IH30" s="33"/>
    </row>
    <row r="31" spans="1:242" ht="15" customHeight="1">
      <c r="A31" s="65" t="s">
        <v>449</v>
      </c>
      <c r="B31" s="38" t="s">
        <v>450</v>
      </c>
      <c r="C31" s="38" t="s">
        <v>206</v>
      </c>
      <c r="D31" s="38" t="s">
        <v>451</v>
      </c>
      <c r="E31" s="38" t="s">
        <v>452</v>
      </c>
      <c r="F31" s="38" t="s">
        <v>334</v>
      </c>
      <c r="G31" s="38" t="s">
        <v>446</v>
      </c>
      <c r="H31" s="38" t="s">
        <v>453</v>
      </c>
      <c r="I31" s="38" t="s">
        <v>447</v>
      </c>
      <c r="J31" s="38" t="s">
        <v>11</v>
      </c>
      <c r="K31" s="38" t="s">
        <v>454</v>
      </c>
      <c r="L31" s="38" t="s">
        <v>10</v>
      </c>
      <c r="M31" s="38" t="s">
        <v>10</v>
      </c>
      <c r="N31" s="44" t="s">
        <v>10</v>
      </c>
      <c r="O31" s="43">
        <f>1024-492</f>
        <v>532</v>
      </c>
      <c r="P31" s="43">
        <v>214</v>
      </c>
      <c r="Q31" s="44">
        <f>100*P31/O31</f>
        <v>40.225563909774436</v>
      </c>
      <c r="R31" s="42" t="s">
        <v>642</v>
      </c>
      <c r="IA31" s="33"/>
      <c r="IB31" s="33"/>
      <c r="IC31" s="33"/>
      <c r="ID31" s="33"/>
      <c r="IE31" s="33"/>
      <c r="IF31" s="33"/>
      <c r="IG31" s="33"/>
      <c r="IH31" s="33"/>
    </row>
    <row r="32" spans="1:242" ht="15" customHeight="1">
      <c r="A32" s="65" t="s">
        <v>449</v>
      </c>
      <c r="B32" s="38" t="s">
        <v>450</v>
      </c>
      <c r="C32" s="38" t="s">
        <v>206</v>
      </c>
      <c r="D32" s="38" t="s">
        <v>451</v>
      </c>
      <c r="E32" s="38" t="s">
        <v>452</v>
      </c>
      <c r="F32" s="38" t="s">
        <v>334</v>
      </c>
      <c r="G32" s="38" t="s">
        <v>446</v>
      </c>
      <c r="H32" s="38" t="s">
        <v>453</v>
      </c>
      <c r="I32" s="38" t="s">
        <v>447</v>
      </c>
      <c r="J32" s="38" t="s">
        <v>11</v>
      </c>
      <c r="K32" s="38" t="s">
        <v>443</v>
      </c>
      <c r="L32" s="38" t="s">
        <v>10</v>
      </c>
      <c r="M32" s="38" t="s">
        <v>10</v>
      </c>
      <c r="N32" s="44" t="s">
        <v>10</v>
      </c>
      <c r="O32" s="43">
        <f>P32*100/Q32</f>
        <v>138.72832369942196</v>
      </c>
      <c r="P32" s="43">
        <v>24</v>
      </c>
      <c r="Q32" s="44">
        <v>17.3</v>
      </c>
      <c r="R32" s="42" t="s">
        <v>642</v>
      </c>
      <c r="IA32" s="33"/>
      <c r="IB32" s="33"/>
      <c r="IC32" s="33"/>
      <c r="ID32" s="33"/>
      <c r="IE32" s="33"/>
      <c r="IF32" s="33"/>
      <c r="IG32" s="33"/>
      <c r="IH32" s="33"/>
    </row>
    <row r="33" spans="1:242" ht="15" customHeight="1">
      <c r="A33" s="65" t="s">
        <v>449</v>
      </c>
      <c r="B33" s="38" t="s">
        <v>450</v>
      </c>
      <c r="C33" s="38" t="s">
        <v>206</v>
      </c>
      <c r="D33" s="38" t="s">
        <v>451</v>
      </c>
      <c r="E33" s="38" t="s">
        <v>452</v>
      </c>
      <c r="F33" s="38" t="s">
        <v>334</v>
      </c>
      <c r="G33" s="38" t="s">
        <v>455</v>
      </c>
      <c r="H33" s="38" t="s">
        <v>453</v>
      </c>
      <c r="I33" s="38" t="s">
        <v>456</v>
      </c>
      <c r="J33" s="38" t="s">
        <v>11</v>
      </c>
      <c r="K33" s="38" t="s">
        <v>444</v>
      </c>
      <c r="L33" s="38" t="s">
        <v>10</v>
      </c>
      <c r="M33" s="38" t="s">
        <v>10</v>
      </c>
      <c r="N33" s="44" t="s">
        <v>10</v>
      </c>
      <c r="O33" s="43">
        <v>56</v>
      </c>
      <c r="P33" s="43">
        <f>Q33*O33/100</f>
        <v>15.4</v>
      </c>
      <c r="Q33" s="44">
        <v>27.5</v>
      </c>
      <c r="R33" s="42" t="s">
        <v>642</v>
      </c>
      <c r="IA33" s="33"/>
      <c r="IB33" s="33"/>
      <c r="IC33" s="33"/>
      <c r="ID33" s="33"/>
      <c r="IE33" s="33"/>
      <c r="IF33" s="33"/>
      <c r="IG33" s="33"/>
      <c r="IH33" s="33"/>
    </row>
    <row r="34" spans="1:242" ht="15" customHeight="1">
      <c r="A34" s="65" t="s">
        <v>449</v>
      </c>
      <c r="B34" s="38" t="s">
        <v>450</v>
      </c>
      <c r="C34" s="38" t="s">
        <v>206</v>
      </c>
      <c r="D34" s="38" t="s">
        <v>451</v>
      </c>
      <c r="E34" s="38" t="s">
        <v>452</v>
      </c>
      <c r="F34" s="38" t="s">
        <v>334</v>
      </c>
      <c r="G34" s="38" t="s">
        <v>455</v>
      </c>
      <c r="H34" s="38" t="s">
        <v>453</v>
      </c>
      <c r="I34" s="38" t="s">
        <v>456</v>
      </c>
      <c r="J34" s="38" t="s">
        <v>11</v>
      </c>
      <c r="K34" s="38" t="s">
        <v>25</v>
      </c>
      <c r="L34" s="38" t="s">
        <v>10</v>
      </c>
      <c r="M34" s="38" t="s">
        <v>10</v>
      </c>
      <c r="N34" s="44" t="s">
        <v>10</v>
      </c>
      <c r="O34" s="43">
        <v>266</v>
      </c>
      <c r="P34" s="43">
        <f>Q34*O34/100</f>
        <v>123.69</v>
      </c>
      <c r="Q34" s="44">
        <v>46.5</v>
      </c>
      <c r="R34" s="42" t="s">
        <v>642</v>
      </c>
      <c r="IA34" s="33"/>
      <c r="IB34" s="33"/>
      <c r="IC34" s="33"/>
      <c r="ID34" s="33"/>
      <c r="IE34" s="33"/>
      <c r="IF34" s="33"/>
      <c r="IG34" s="33"/>
      <c r="IH34" s="33"/>
    </row>
    <row r="35" spans="1:242" ht="15" customHeight="1">
      <c r="A35" s="65" t="s">
        <v>449</v>
      </c>
      <c r="B35" s="38" t="s">
        <v>450</v>
      </c>
      <c r="C35" s="38" t="s">
        <v>206</v>
      </c>
      <c r="D35" s="38" t="s">
        <v>451</v>
      </c>
      <c r="E35" s="38" t="s">
        <v>452</v>
      </c>
      <c r="F35" s="38" t="s">
        <v>334</v>
      </c>
      <c r="G35" s="38" t="s">
        <v>455</v>
      </c>
      <c r="H35" s="38" t="s">
        <v>453</v>
      </c>
      <c r="I35" s="38" t="s">
        <v>456</v>
      </c>
      <c r="J35" s="38" t="s">
        <v>11</v>
      </c>
      <c r="K35" s="38" t="s">
        <v>26</v>
      </c>
      <c r="L35" s="38" t="s">
        <v>10</v>
      </c>
      <c r="M35" s="38" t="s">
        <v>10</v>
      </c>
      <c r="N35" s="44" t="s">
        <v>10</v>
      </c>
      <c r="O35" s="43">
        <v>73</v>
      </c>
      <c r="P35" s="43">
        <f>Q35*O35/100</f>
        <v>44.018999999999998</v>
      </c>
      <c r="Q35" s="44">
        <v>60.3</v>
      </c>
      <c r="R35" s="42" t="s">
        <v>642</v>
      </c>
      <c r="IA35" s="33"/>
      <c r="IB35" s="33"/>
      <c r="IC35" s="33"/>
      <c r="ID35" s="33"/>
      <c r="IE35" s="33"/>
      <c r="IF35" s="33"/>
      <c r="IG35" s="33"/>
      <c r="IH35" s="33"/>
    </row>
    <row r="36" spans="1:242" ht="15" customHeight="1">
      <c r="A36" s="65" t="s">
        <v>449</v>
      </c>
      <c r="B36" s="38" t="s">
        <v>450</v>
      </c>
      <c r="C36" s="38" t="s">
        <v>206</v>
      </c>
      <c r="D36" s="38" t="s">
        <v>451</v>
      </c>
      <c r="E36" s="38" t="s">
        <v>452</v>
      </c>
      <c r="F36" s="38" t="s">
        <v>334</v>
      </c>
      <c r="G36" s="38" t="s">
        <v>455</v>
      </c>
      <c r="H36" s="38" t="s">
        <v>453</v>
      </c>
      <c r="I36" s="38" t="s">
        <v>456</v>
      </c>
      <c r="J36" s="38" t="s">
        <v>11</v>
      </c>
      <c r="K36" s="38" t="s">
        <v>27</v>
      </c>
      <c r="L36" s="38" t="s">
        <v>10</v>
      </c>
      <c r="M36" s="38" t="s">
        <v>10</v>
      </c>
      <c r="N36" s="44" t="s">
        <v>10</v>
      </c>
      <c r="O36" s="43">
        <v>29</v>
      </c>
      <c r="P36" s="43">
        <f>Q36*O36/100</f>
        <v>22.561999999999998</v>
      </c>
      <c r="Q36" s="44">
        <v>77.8</v>
      </c>
      <c r="R36" s="42" t="s">
        <v>642</v>
      </c>
      <c r="IA36" s="33"/>
      <c r="IB36" s="33"/>
      <c r="IC36" s="33"/>
      <c r="ID36" s="33"/>
      <c r="IE36" s="33"/>
      <c r="IF36" s="33"/>
      <c r="IG36" s="33"/>
      <c r="IH36" s="33"/>
    </row>
    <row r="37" spans="1:242" ht="15" customHeight="1">
      <c r="A37" s="65" t="s">
        <v>457</v>
      </c>
      <c r="B37" s="41">
        <v>2016</v>
      </c>
      <c r="C37" s="38" t="s">
        <v>206</v>
      </c>
      <c r="D37" s="38" t="s">
        <v>458</v>
      </c>
      <c r="E37" s="38" t="s">
        <v>459</v>
      </c>
      <c r="F37" s="38" t="s">
        <v>9</v>
      </c>
      <c r="G37" s="38" t="s">
        <v>198</v>
      </c>
      <c r="H37" s="38" t="s">
        <v>312</v>
      </c>
      <c r="I37" s="38" t="s">
        <v>460</v>
      </c>
      <c r="J37" s="38" t="s">
        <v>11</v>
      </c>
      <c r="K37" s="38" t="s">
        <v>461</v>
      </c>
      <c r="L37" s="38" t="s">
        <v>10</v>
      </c>
      <c r="M37" s="38" t="s">
        <v>10</v>
      </c>
      <c r="N37" s="44" t="s">
        <v>10</v>
      </c>
      <c r="O37" s="43">
        <v>252</v>
      </c>
      <c r="P37" s="43">
        <v>81</v>
      </c>
      <c r="Q37" s="44">
        <f t="shared" ref="Q37:Q41" si="2">100*P37/O37</f>
        <v>32.142857142857146</v>
      </c>
      <c r="R37" s="41">
        <v>35</v>
      </c>
      <c r="IA37" s="33"/>
      <c r="IB37" s="33"/>
      <c r="IC37" s="33"/>
      <c r="ID37" s="33"/>
      <c r="IE37" s="33"/>
      <c r="IF37" s="33"/>
      <c r="IG37" s="33"/>
      <c r="IH37" s="33"/>
    </row>
    <row r="38" spans="1:242" ht="15" customHeight="1">
      <c r="A38" s="65" t="s">
        <v>457</v>
      </c>
      <c r="B38" s="41">
        <v>2016</v>
      </c>
      <c r="C38" s="38" t="s">
        <v>206</v>
      </c>
      <c r="D38" s="38" t="s">
        <v>458</v>
      </c>
      <c r="E38" s="38" t="s">
        <v>459</v>
      </c>
      <c r="F38" s="38" t="s">
        <v>9</v>
      </c>
      <c r="G38" s="38" t="s">
        <v>198</v>
      </c>
      <c r="H38" s="38" t="s">
        <v>312</v>
      </c>
      <c r="I38" s="38" t="s">
        <v>460</v>
      </c>
      <c r="J38" s="38" t="s">
        <v>11</v>
      </c>
      <c r="K38" s="38" t="s">
        <v>24</v>
      </c>
      <c r="L38" s="38" t="s">
        <v>10</v>
      </c>
      <c r="M38" s="38" t="s">
        <v>10</v>
      </c>
      <c r="N38" s="44" t="s">
        <v>10</v>
      </c>
      <c r="O38" s="43">
        <v>40</v>
      </c>
      <c r="P38" s="43">
        <v>17</v>
      </c>
      <c r="Q38" s="44">
        <f t="shared" si="2"/>
        <v>42.5</v>
      </c>
      <c r="R38" s="41">
        <v>35</v>
      </c>
      <c r="IA38" s="33"/>
      <c r="IB38" s="33"/>
      <c r="IC38" s="33"/>
      <c r="ID38" s="33"/>
      <c r="IE38" s="33"/>
      <c r="IF38" s="33"/>
      <c r="IG38" s="33"/>
      <c r="IH38" s="33"/>
    </row>
    <row r="39" spans="1:242" ht="15" customHeight="1">
      <c r="A39" s="65" t="s">
        <v>457</v>
      </c>
      <c r="B39" s="41">
        <v>2016</v>
      </c>
      <c r="C39" s="38" t="s">
        <v>206</v>
      </c>
      <c r="D39" s="38" t="s">
        <v>458</v>
      </c>
      <c r="E39" s="38" t="s">
        <v>459</v>
      </c>
      <c r="F39" s="38" t="s">
        <v>9</v>
      </c>
      <c r="G39" s="38" t="s">
        <v>198</v>
      </c>
      <c r="H39" s="38" t="s">
        <v>312</v>
      </c>
      <c r="I39" s="38" t="s">
        <v>460</v>
      </c>
      <c r="J39" s="38" t="s">
        <v>11</v>
      </c>
      <c r="K39" s="38" t="s">
        <v>25</v>
      </c>
      <c r="L39" s="38" t="s">
        <v>10</v>
      </c>
      <c r="M39" s="38" t="s">
        <v>10</v>
      </c>
      <c r="N39" s="44" t="s">
        <v>10</v>
      </c>
      <c r="O39" s="43">
        <v>86</v>
      </c>
      <c r="P39" s="43">
        <v>21</v>
      </c>
      <c r="Q39" s="44">
        <f t="shared" si="2"/>
        <v>24.418604651162791</v>
      </c>
      <c r="R39" s="41">
        <v>35</v>
      </c>
      <c r="IA39" s="33"/>
      <c r="IB39" s="33"/>
      <c r="IC39" s="33"/>
      <c r="ID39" s="33"/>
      <c r="IE39" s="33"/>
      <c r="IF39" s="33"/>
      <c r="IG39" s="33"/>
      <c r="IH39" s="33"/>
    </row>
    <row r="40" spans="1:242" ht="15" customHeight="1">
      <c r="A40" s="65" t="s">
        <v>457</v>
      </c>
      <c r="B40" s="41">
        <v>2016</v>
      </c>
      <c r="C40" s="38" t="s">
        <v>206</v>
      </c>
      <c r="D40" s="38" t="s">
        <v>458</v>
      </c>
      <c r="E40" s="38" t="s">
        <v>459</v>
      </c>
      <c r="F40" s="38" t="s">
        <v>9</v>
      </c>
      <c r="G40" s="38" t="s">
        <v>198</v>
      </c>
      <c r="H40" s="38" t="s">
        <v>312</v>
      </c>
      <c r="I40" s="38" t="s">
        <v>460</v>
      </c>
      <c r="J40" s="38" t="s">
        <v>11</v>
      </c>
      <c r="K40" s="38" t="s">
        <v>26</v>
      </c>
      <c r="L40" s="38" t="s">
        <v>10</v>
      </c>
      <c r="M40" s="38" t="s">
        <v>10</v>
      </c>
      <c r="N40" s="44" t="s">
        <v>10</v>
      </c>
      <c r="O40" s="43">
        <v>84</v>
      </c>
      <c r="P40" s="43">
        <v>30</v>
      </c>
      <c r="Q40" s="44">
        <f t="shared" si="2"/>
        <v>35.714285714285715</v>
      </c>
      <c r="R40" s="41">
        <v>35</v>
      </c>
      <c r="IA40" s="33"/>
      <c r="IB40" s="33"/>
      <c r="IC40" s="33"/>
      <c r="ID40" s="33"/>
      <c r="IE40" s="33"/>
      <c r="IF40" s="33"/>
      <c r="IG40" s="33"/>
      <c r="IH40" s="33"/>
    </row>
    <row r="41" spans="1:242" ht="15" customHeight="1">
      <c r="A41" s="65" t="s">
        <v>457</v>
      </c>
      <c r="B41" s="41">
        <v>2016</v>
      </c>
      <c r="C41" s="38" t="s">
        <v>206</v>
      </c>
      <c r="D41" s="38" t="s">
        <v>458</v>
      </c>
      <c r="E41" s="38" t="s">
        <v>459</v>
      </c>
      <c r="F41" s="38" t="s">
        <v>9</v>
      </c>
      <c r="G41" s="38" t="s">
        <v>198</v>
      </c>
      <c r="H41" s="38" t="s">
        <v>312</v>
      </c>
      <c r="I41" s="38" t="s">
        <v>460</v>
      </c>
      <c r="J41" s="38" t="s">
        <v>11</v>
      </c>
      <c r="K41" s="38" t="s">
        <v>462</v>
      </c>
      <c r="L41" s="38" t="s">
        <v>10</v>
      </c>
      <c r="M41" s="38" t="s">
        <v>10</v>
      </c>
      <c r="N41" s="44" t="s">
        <v>10</v>
      </c>
      <c r="O41" s="43">
        <v>42</v>
      </c>
      <c r="P41" s="43">
        <v>13</v>
      </c>
      <c r="Q41" s="44">
        <f t="shared" si="2"/>
        <v>30.952380952380953</v>
      </c>
      <c r="R41" s="41">
        <v>35</v>
      </c>
      <c r="IA41" s="33"/>
      <c r="IB41" s="33"/>
      <c r="IC41" s="33"/>
      <c r="ID41" s="33"/>
      <c r="IE41" s="33"/>
      <c r="IF41" s="33"/>
      <c r="IG41" s="33"/>
      <c r="IH41" s="33"/>
    </row>
    <row r="42" spans="1:242" ht="15" customHeight="1">
      <c r="A42" s="65" t="s">
        <v>463</v>
      </c>
      <c r="B42" s="41">
        <v>2015</v>
      </c>
      <c r="C42" s="38" t="s">
        <v>206</v>
      </c>
      <c r="D42" s="38" t="s">
        <v>451</v>
      </c>
      <c r="E42" s="38" t="s">
        <v>464</v>
      </c>
      <c r="F42" s="38" t="s">
        <v>9</v>
      </c>
      <c r="G42" s="41">
        <v>2003</v>
      </c>
      <c r="H42" s="42" t="s">
        <v>465</v>
      </c>
      <c r="I42" s="38" t="s">
        <v>466</v>
      </c>
      <c r="J42" s="38" t="s">
        <v>16</v>
      </c>
      <c r="K42" s="38" t="s">
        <v>467</v>
      </c>
      <c r="L42" s="38" t="s">
        <v>10</v>
      </c>
      <c r="M42" s="38" t="s">
        <v>10</v>
      </c>
      <c r="N42" s="44" t="s">
        <v>10</v>
      </c>
      <c r="O42" s="43">
        <v>89</v>
      </c>
      <c r="P42" s="43">
        <v>13</v>
      </c>
      <c r="Q42" s="44">
        <v>14.4</v>
      </c>
      <c r="R42" s="41">
        <v>36</v>
      </c>
      <c r="IA42" s="33"/>
      <c r="IB42" s="33"/>
      <c r="IC42" s="33"/>
      <c r="ID42" s="33"/>
      <c r="IE42" s="33"/>
      <c r="IF42" s="33"/>
      <c r="IG42" s="33"/>
      <c r="IH42" s="33"/>
    </row>
    <row r="43" spans="1:242" ht="15" customHeight="1">
      <c r="A43" s="65" t="s">
        <v>468</v>
      </c>
      <c r="B43" s="41">
        <v>2018</v>
      </c>
      <c r="C43" s="38" t="s">
        <v>206</v>
      </c>
      <c r="D43" s="38" t="s">
        <v>469</v>
      </c>
      <c r="E43" s="38" t="s">
        <v>43</v>
      </c>
      <c r="F43" s="38" t="s">
        <v>335</v>
      </c>
      <c r="G43" s="38" t="s">
        <v>387</v>
      </c>
      <c r="H43" s="38" t="s">
        <v>22</v>
      </c>
      <c r="I43" s="38" t="s">
        <v>447</v>
      </c>
      <c r="J43" s="38" t="s">
        <v>16</v>
      </c>
      <c r="K43" s="38" t="s">
        <v>470</v>
      </c>
      <c r="L43" s="38" t="s">
        <v>10</v>
      </c>
      <c r="M43" s="38" t="s">
        <v>10</v>
      </c>
      <c r="N43" s="44" t="s">
        <v>10</v>
      </c>
      <c r="O43" s="41">
        <f t="shared" ref="O43:P48" si="3">O49+O55</f>
        <v>29762</v>
      </c>
      <c r="P43" s="43">
        <f t="shared" si="3"/>
        <v>9938</v>
      </c>
      <c r="Q43" s="44">
        <f t="shared" ref="Q43:Q60" si="4">100*P43/O43</f>
        <v>33.391573146965932</v>
      </c>
      <c r="R43" s="41">
        <v>37</v>
      </c>
      <c r="IA43" s="33"/>
      <c r="IB43" s="33"/>
      <c r="IC43" s="33"/>
      <c r="ID43" s="33"/>
      <c r="IE43" s="33"/>
      <c r="IF43" s="33"/>
      <c r="IG43" s="33"/>
      <c r="IH43" s="33"/>
    </row>
    <row r="44" spans="1:242" ht="15" customHeight="1">
      <c r="A44" s="65" t="s">
        <v>468</v>
      </c>
      <c r="B44" s="41">
        <v>2018</v>
      </c>
      <c r="C44" s="38" t="s">
        <v>206</v>
      </c>
      <c r="D44" s="38" t="s">
        <v>469</v>
      </c>
      <c r="E44" s="38" t="s">
        <v>43</v>
      </c>
      <c r="F44" s="38" t="s">
        <v>335</v>
      </c>
      <c r="G44" s="38" t="s">
        <v>387</v>
      </c>
      <c r="H44" s="38" t="s">
        <v>22</v>
      </c>
      <c r="I44" s="38" t="s">
        <v>447</v>
      </c>
      <c r="J44" s="38" t="s">
        <v>16</v>
      </c>
      <c r="K44" s="38" t="s">
        <v>35</v>
      </c>
      <c r="L44" s="38" t="s">
        <v>10</v>
      </c>
      <c r="M44" s="38" t="s">
        <v>10</v>
      </c>
      <c r="N44" s="44" t="s">
        <v>10</v>
      </c>
      <c r="O44" s="41">
        <f t="shared" si="3"/>
        <v>14704</v>
      </c>
      <c r="P44" s="43">
        <f t="shared" si="3"/>
        <v>3601</v>
      </c>
      <c r="Q44" s="44">
        <f t="shared" si="4"/>
        <v>24.489934711643091</v>
      </c>
      <c r="R44" s="41">
        <v>37</v>
      </c>
      <c r="IA44" s="33"/>
      <c r="IB44" s="33"/>
      <c r="IC44" s="33"/>
      <c r="ID44" s="33"/>
      <c r="IE44" s="33"/>
      <c r="IF44" s="33"/>
      <c r="IG44" s="33"/>
      <c r="IH44" s="33"/>
    </row>
    <row r="45" spans="1:242" ht="15" customHeight="1">
      <c r="A45" s="65" t="s">
        <v>468</v>
      </c>
      <c r="B45" s="41">
        <v>2018</v>
      </c>
      <c r="C45" s="38" t="s">
        <v>206</v>
      </c>
      <c r="D45" s="38" t="s">
        <v>469</v>
      </c>
      <c r="E45" s="38" t="s">
        <v>43</v>
      </c>
      <c r="F45" s="38" t="s">
        <v>335</v>
      </c>
      <c r="G45" s="38" t="s">
        <v>387</v>
      </c>
      <c r="H45" s="38" t="s">
        <v>22</v>
      </c>
      <c r="I45" s="38" t="s">
        <v>447</v>
      </c>
      <c r="J45" s="38" t="s">
        <v>16</v>
      </c>
      <c r="K45" s="38" t="s">
        <v>26</v>
      </c>
      <c r="L45" s="38" t="s">
        <v>10</v>
      </c>
      <c r="M45" s="38" t="s">
        <v>10</v>
      </c>
      <c r="N45" s="44" t="s">
        <v>10</v>
      </c>
      <c r="O45" s="41">
        <f t="shared" si="3"/>
        <v>7960</v>
      </c>
      <c r="P45" s="43">
        <f t="shared" si="3"/>
        <v>3910</v>
      </c>
      <c r="Q45" s="44">
        <f t="shared" si="4"/>
        <v>49.120603015075375</v>
      </c>
      <c r="R45" s="41">
        <v>37</v>
      </c>
      <c r="IA45" s="33"/>
      <c r="IB45" s="33"/>
      <c r="IC45" s="33"/>
      <c r="ID45" s="33"/>
      <c r="IE45" s="33"/>
      <c r="IF45" s="33"/>
      <c r="IG45" s="33"/>
      <c r="IH45" s="33"/>
    </row>
    <row r="46" spans="1:242" ht="15" customHeight="1">
      <c r="A46" s="65" t="s">
        <v>468</v>
      </c>
      <c r="B46" s="41">
        <v>2018</v>
      </c>
      <c r="C46" s="38" t="s">
        <v>206</v>
      </c>
      <c r="D46" s="38" t="s">
        <v>469</v>
      </c>
      <c r="E46" s="38" t="s">
        <v>43</v>
      </c>
      <c r="F46" s="38" t="s">
        <v>335</v>
      </c>
      <c r="G46" s="38" t="s">
        <v>387</v>
      </c>
      <c r="H46" s="38" t="s">
        <v>22</v>
      </c>
      <c r="I46" s="38" t="s">
        <v>447</v>
      </c>
      <c r="J46" s="38" t="s">
        <v>16</v>
      </c>
      <c r="K46" s="38" t="s">
        <v>27</v>
      </c>
      <c r="L46" s="38" t="s">
        <v>10</v>
      </c>
      <c r="M46" s="38" t="s">
        <v>10</v>
      </c>
      <c r="N46" s="44" t="s">
        <v>10</v>
      </c>
      <c r="O46" s="41">
        <f t="shared" si="3"/>
        <v>6257</v>
      </c>
      <c r="P46" s="43">
        <f t="shared" si="3"/>
        <v>3815</v>
      </c>
      <c r="Q46" s="44">
        <f t="shared" si="4"/>
        <v>60.971711682915135</v>
      </c>
      <c r="R46" s="41">
        <v>37</v>
      </c>
      <c r="IA46" s="33"/>
      <c r="IB46" s="33"/>
      <c r="IC46" s="33"/>
      <c r="ID46" s="33"/>
      <c r="IE46" s="33"/>
      <c r="IF46" s="33"/>
      <c r="IG46" s="33"/>
      <c r="IH46" s="33"/>
    </row>
    <row r="47" spans="1:242" ht="15" customHeight="1">
      <c r="A47" s="65" t="s">
        <v>468</v>
      </c>
      <c r="B47" s="41">
        <v>2018</v>
      </c>
      <c r="C47" s="38" t="s">
        <v>206</v>
      </c>
      <c r="D47" s="38" t="s">
        <v>469</v>
      </c>
      <c r="E47" s="38" t="s">
        <v>43</v>
      </c>
      <c r="F47" s="38" t="s">
        <v>335</v>
      </c>
      <c r="G47" s="38" t="s">
        <v>387</v>
      </c>
      <c r="H47" s="38" t="s">
        <v>22</v>
      </c>
      <c r="I47" s="38" t="s">
        <v>447</v>
      </c>
      <c r="J47" s="38" t="s">
        <v>16</v>
      </c>
      <c r="K47" s="38" t="s">
        <v>28</v>
      </c>
      <c r="L47" s="38" t="s">
        <v>10</v>
      </c>
      <c r="M47" s="38" t="s">
        <v>10</v>
      </c>
      <c r="N47" s="44" t="s">
        <v>10</v>
      </c>
      <c r="O47" s="41">
        <f t="shared" si="3"/>
        <v>4560</v>
      </c>
      <c r="P47" s="43">
        <f t="shared" si="3"/>
        <v>3147</v>
      </c>
      <c r="Q47" s="44">
        <f t="shared" si="4"/>
        <v>69.013157894736835</v>
      </c>
      <c r="R47" s="41">
        <v>37</v>
      </c>
      <c r="IA47" s="33"/>
      <c r="IB47" s="33"/>
      <c r="IC47" s="33"/>
      <c r="ID47" s="33"/>
      <c r="IE47" s="33"/>
      <c r="IF47" s="33"/>
      <c r="IG47" s="33"/>
      <c r="IH47" s="33"/>
    </row>
    <row r="48" spans="1:242" ht="15" customHeight="1">
      <c r="A48" s="65" t="s">
        <v>468</v>
      </c>
      <c r="B48" s="41">
        <v>2018</v>
      </c>
      <c r="C48" s="38" t="s">
        <v>206</v>
      </c>
      <c r="D48" s="38" t="s">
        <v>469</v>
      </c>
      <c r="E48" s="38" t="s">
        <v>43</v>
      </c>
      <c r="F48" s="38" t="s">
        <v>335</v>
      </c>
      <c r="G48" s="38" t="s">
        <v>387</v>
      </c>
      <c r="H48" s="38" t="s">
        <v>22</v>
      </c>
      <c r="I48" s="38" t="s">
        <v>447</v>
      </c>
      <c r="J48" s="38" t="s">
        <v>16</v>
      </c>
      <c r="K48" s="38" t="s">
        <v>72</v>
      </c>
      <c r="L48" s="38" t="s">
        <v>10</v>
      </c>
      <c r="M48" s="38" t="s">
        <v>10</v>
      </c>
      <c r="N48" s="44" t="s">
        <v>10</v>
      </c>
      <c r="O48" s="41">
        <f t="shared" si="3"/>
        <v>3476</v>
      </c>
      <c r="P48" s="43">
        <f t="shared" si="3"/>
        <v>2362</v>
      </c>
      <c r="Q48" s="44">
        <f t="shared" si="4"/>
        <v>67.951668584579977</v>
      </c>
      <c r="R48" s="41">
        <v>37</v>
      </c>
      <c r="IA48" s="33"/>
      <c r="IB48" s="33"/>
      <c r="IC48" s="33"/>
      <c r="ID48" s="33"/>
      <c r="IE48" s="33"/>
      <c r="IF48" s="33"/>
      <c r="IG48" s="33"/>
      <c r="IH48" s="33"/>
    </row>
    <row r="49" spans="1:242" ht="15" customHeight="1">
      <c r="A49" s="65" t="s">
        <v>468</v>
      </c>
      <c r="B49" s="41">
        <v>2018</v>
      </c>
      <c r="C49" s="38" t="s">
        <v>206</v>
      </c>
      <c r="D49" s="38" t="s">
        <v>469</v>
      </c>
      <c r="E49" s="38" t="s">
        <v>43</v>
      </c>
      <c r="F49" s="38" t="s">
        <v>335</v>
      </c>
      <c r="G49" s="38" t="s">
        <v>387</v>
      </c>
      <c r="H49" s="38" t="s">
        <v>22</v>
      </c>
      <c r="I49" s="38" t="s">
        <v>447</v>
      </c>
      <c r="J49" s="38" t="s">
        <v>23</v>
      </c>
      <c r="K49" s="38" t="s">
        <v>470</v>
      </c>
      <c r="L49" s="38" t="s">
        <v>10</v>
      </c>
      <c r="M49" s="38" t="s">
        <v>10</v>
      </c>
      <c r="N49" s="44" t="s">
        <v>10</v>
      </c>
      <c r="O49" s="41">
        <f>4475+2148+1605+1225+1027-909</f>
        <v>9571</v>
      </c>
      <c r="P49" s="43">
        <f>2629-909</f>
        <v>1720</v>
      </c>
      <c r="Q49" s="44">
        <f t="shared" si="4"/>
        <v>17.970953923309999</v>
      </c>
      <c r="R49" s="41">
        <v>37</v>
      </c>
      <c r="IA49" s="33"/>
      <c r="IB49" s="33"/>
      <c r="IC49" s="33"/>
      <c r="ID49" s="33"/>
      <c r="IE49" s="33"/>
      <c r="IF49" s="33"/>
      <c r="IG49" s="33"/>
      <c r="IH49" s="33"/>
    </row>
    <row r="50" spans="1:242" ht="15" customHeight="1">
      <c r="A50" s="65" t="s">
        <v>468</v>
      </c>
      <c r="B50" s="41">
        <v>2018</v>
      </c>
      <c r="C50" s="38" t="s">
        <v>206</v>
      </c>
      <c r="D50" s="38" t="s">
        <v>469</v>
      </c>
      <c r="E50" s="38" t="s">
        <v>43</v>
      </c>
      <c r="F50" s="38" t="s">
        <v>335</v>
      </c>
      <c r="G50" s="38" t="s">
        <v>387</v>
      </c>
      <c r="H50" s="38" t="s">
        <v>22</v>
      </c>
      <c r="I50" s="38" t="s">
        <v>447</v>
      </c>
      <c r="J50" s="38" t="s">
        <v>23</v>
      </c>
      <c r="K50" s="38" t="s">
        <v>35</v>
      </c>
      <c r="L50" s="38" t="s">
        <v>10</v>
      </c>
      <c r="M50" s="38" t="s">
        <v>10</v>
      </c>
      <c r="N50" s="44" t="s">
        <v>10</v>
      </c>
      <c r="O50" s="41">
        <v>4775</v>
      </c>
      <c r="P50" s="43">
        <v>372</v>
      </c>
      <c r="Q50" s="44">
        <f t="shared" si="4"/>
        <v>7.7905759162303667</v>
      </c>
      <c r="R50" s="41">
        <v>37</v>
      </c>
      <c r="IA50" s="33"/>
      <c r="IB50" s="33"/>
      <c r="IC50" s="33"/>
      <c r="ID50" s="33"/>
      <c r="IE50" s="33"/>
      <c r="IF50" s="33"/>
      <c r="IG50" s="33"/>
      <c r="IH50" s="33"/>
    </row>
    <row r="51" spans="1:242" ht="15" customHeight="1">
      <c r="A51" s="65" t="s">
        <v>468</v>
      </c>
      <c r="B51" s="41">
        <v>2018</v>
      </c>
      <c r="C51" s="38" t="s">
        <v>206</v>
      </c>
      <c r="D51" s="38" t="s">
        <v>469</v>
      </c>
      <c r="E51" s="38" t="s">
        <v>43</v>
      </c>
      <c r="F51" s="38" t="s">
        <v>335</v>
      </c>
      <c r="G51" s="38" t="s">
        <v>387</v>
      </c>
      <c r="H51" s="38" t="s">
        <v>22</v>
      </c>
      <c r="I51" s="38" t="s">
        <v>447</v>
      </c>
      <c r="J51" s="38" t="s">
        <v>23</v>
      </c>
      <c r="K51" s="38" t="s">
        <v>26</v>
      </c>
      <c r="L51" s="38" t="s">
        <v>10</v>
      </c>
      <c r="M51" s="38" t="s">
        <v>10</v>
      </c>
      <c r="N51" s="44" t="s">
        <v>10</v>
      </c>
      <c r="O51" s="41">
        <v>2148</v>
      </c>
      <c r="P51" s="43">
        <v>504</v>
      </c>
      <c r="Q51" s="44">
        <f t="shared" si="4"/>
        <v>23.463687150837988</v>
      </c>
      <c r="R51" s="41">
        <v>37</v>
      </c>
      <c r="IA51" s="33"/>
      <c r="IB51" s="33"/>
      <c r="IC51" s="33"/>
      <c r="ID51" s="33"/>
      <c r="IE51" s="33"/>
      <c r="IF51" s="33"/>
      <c r="IG51" s="33"/>
      <c r="IH51" s="33"/>
    </row>
    <row r="52" spans="1:242" ht="15" customHeight="1">
      <c r="A52" s="65" t="s">
        <v>468</v>
      </c>
      <c r="B52" s="41">
        <v>2018</v>
      </c>
      <c r="C52" s="38" t="s">
        <v>206</v>
      </c>
      <c r="D52" s="38" t="s">
        <v>469</v>
      </c>
      <c r="E52" s="38" t="s">
        <v>43</v>
      </c>
      <c r="F52" s="38" t="s">
        <v>335</v>
      </c>
      <c r="G52" s="38" t="s">
        <v>387</v>
      </c>
      <c r="H52" s="38" t="s">
        <v>22</v>
      </c>
      <c r="I52" s="38" t="s">
        <v>447</v>
      </c>
      <c r="J52" s="38" t="s">
        <v>23</v>
      </c>
      <c r="K52" s="38" t="s">
        <v>27</v>
      </c>
      <c r="L52" s="38" t="s">
        <v>10</v>
      </c>
      <c r="M52" s="38" t="s">
        <v>10</v>
      </c>
      <c r="N52" s="44" t="s">
        <v>10</v>
      </c>
      <c r="O52" s="41">
        <v>1605</v>
      </c>
      <c r="P52" s="43">
        <v>628</v>
      </c>
      <c r="Q52" s="44">
        <f t="shared" si="4"/>
        <v>39.127725856697822</v>
      </c>
      <c r="R52" s="41">
        <v>37</v>
      </c>
      <c r="IA52" s="33"/>
      <c r="IB52" s="33"/>
      <c r="IC52" s="33"/>
      <c r="ID52" s="33"/>
      <c r="IE52" s="33"/>
      <c r="IF52" s="33"/>
      <c r="IG52" s="33"/>
      <c r="IH52" s="33"/>
    </row>
    <row r="53" spans="1:242" ht="15" customHeight="1">
      <c r="A53" s="65" t="s">
        <v>468</v>
      </c>
      <c r="B53" s="41">
        <v>2018</v>
      </c>
      <c r="C53" s="38" t="s">
        <v>206</v>
      </c>
      <c r="D53" s="38" t="s">
        <v>469</v>
      </c>
      <c r="E53" s="38" t="s">
        <v>43</v>
      </c>
      <c r="F53" s="38" t="s">
        <v>335</v>
      </c>
      <c r="G53" s="38" t="s">
        <v>387</v>
      </c>
      <c r="H53" s="38" t="s">
        <v>22</v>
      </c>
      <c r="I53" s="38" t="s">
        <v>447</v>
      </c>
      <c r="J53" s="38" t="s">
        <v>23</v>
      </c>
      <c r="K53" s="38" t="s">
        <v>28</v>
      </c>
      <c r="L53" s="38" t="s">
        <v>10</v>
      </c>
      <c r="M53" s="38" t="s">
        <v>10</v>
      </c>
      <c r="N53" s="44" t="s">
        <v>10</v>
      </c>
      <c r="O53" s="41">
        <v>1225</v>
      </c>
      <c r="P53" s="43">
        <v>599</v>
      </c>
      <c r="Q53" s="44">
        <f t="shared" si="4"/>
        <v>48.897959183673471</v>
      </c>
      <c r="R53" s="41">
        <v>37</v>
      </c>
      <c r="IA53" s="33"/>
      <c r="IB53" s="33"/>
      <c r="IC53" s="33"/>
      <c r="ID53" s="33"/>
      <c r="IE53" s="33"/>
      <c r="IF53" s="33"/>
      <c r="IG53" s="33"/>
      <c r="IH53" s="33"/>
    </row>
    <row r="54" spans="1:242" ht="15" customHeight="1">
      <c r="A54" s="65" t="s">
        <v>468</v>
      </c>
      <c r="B54" s="41">
        <v>2018</v>
      </c>
      <c r="C54" s="38" t="s">
        <v>206</v>
      </c>
      <c r="D54" s="38" t="s">
        <v>469</v>
      </c>
      <c r="E54" s="38" t="s">
        <v>43</v>
      </c>
      <c r="F54" s="38" t="s">
        <v>335</v>
      </c>
      <c r="G54" s="38" t="s">
        <v>387</v>
      </c>
      <c r="H54" s="38" t="s">
        <v>22</v>
      </c>
      <c r="I54" s="38" t="s">
        <v>447</v>
      </c>
      <c r="J54" s="38" t="s">
        <v>23</v>
      </c>
      <c r="K54" s="38" t="s">
        <v>72</v>
      </c>
      <c r="L54" s="38" t="s">
        <v>10</v>
      </c>
      <c r="M54" s="38" t="s">
        <v>10</v>
      </c>
      <c r="N54" s="44" t="s">
        <v>10</v>
      </c>
      <c r="O54" s="41">
        <v>1027</v>
      </c>
      <c r="P54" s="43">
        <v>527</v>
      </c>
      <c r="Q54" s="44">
        <f t="shared" si="4"/>
        <v>51.314508276533594</v>
      </c>
      <c r="R54" s="41">
        <v>37</v>
      </c>
      <c r="IA54" s="33"/>
      <c r="IB54" s="33"/>
      <c r="IC54" s="33"/>
      <c r="ID54" s="33"/>
      <c r="IE54" s="33"/>
      <c r="IF54" s="33"/>
      <c r="IG54" s="33"/>
      <c r="IH54" s="33"/>
    </row>
    <row r="55" spans="1:242" ht="15" customHeight="1">
      <c r="A55" s="65" t="s">
        <v>468</v>
      </c>
      <c r="B55" s="41">
        <v>2018</v>
      </c>
      <c r="C55" s="38" t="s">
        <v>206</v>
      </c>
      <c r="D55" s="38" t="s">
        <v>469</v>
      </c>
      <c r="E55" s="38" t="s">
        <v>43</v>
      </c>
      <c r="F55" s="38" t="s">
        <v>335</v>
      </c>
      <c r="G55" s="38" t="s">
        <v>387</v>
      </c>
      <c r="H55" s="38" t="s">
        <v>22</v>
      </c>
      <c r="I55" s="38" t="s">
        <v>447</v>
      </c>
      <c r="J55" s="38" t="s">
        <v>11</v>
      </c>
      <c r="K55" s="38" t="s">
        <v>470</v>
      </c>
      <c r="L55" s="38" t="s">
        <v>10</v>
      </c>
      <c r="M55" s="38" t="s">
        <v>10</v>
      </c>
      <c r="N55" s="44" t="s">
        <v>10</v>
      </c>
      <c r="O55" s="41">
        <f>9929+5812+4652+3335+2449-5986</f>
        <v>20191</v>
      </c>
      <c r="P55" s="43">
        <f>14204-5986</f>
        <v>8218</v>
      </c>
      <c r="Q55" s="44">
        <f t="shared" si="4"/>
        <v>40.701302560546779</v>
      </c>
      <c r="R55" s="41">
        <v>37</v>
      </c>
      <c r="IA55" s="33"/>
      <c r="IB55" s="33"/>
      <c r="IC55" s="33"/>
      <c r="ID55" s="33"/>
      <c r="IE55" s="33"/>
      <c r="IF55" s="33"/>
      <c r="IG55" s="33"/>
      <c r="IH55" s="33"/>
    </row>
    <row r="56" spans="1:242" ht="15" customHeight="1">
      <c r="A56" s="65" t="s">
        <v>468</v>
      </c>
      <c r="B56" s="41">
        <v>2018</v>
      </c>
      <c r="C56" s="38" t="s">
        <v>206</v>
      </c>
      <c r="D56" s="38" t="s">
        <v>469</v>
      </c>
      <c r="E56" s="38" t="s">
        <v>43</v>
      </c>
      <c r="F56" s="38" t="s">
        <v>335</v>
      </c>
      <c r="G56" s="38" t="s">
        <v>387</v>
      </c>
      <c r="H56" s="38" t="s">
        <v>22</v>
      </c>
      <c r="I56" s="38" t="s">
        <v>447</v>
      </c>
      <c r="J56" s="38" t="s">
        <v>11</v>
      </c>
      <c r="K56" s="38" t="s">
        <v>35</v>
      </c>
      <c r="L56" s="38" t="s">
        <v>10</v>
      </c>
      <c r="M56" s="38" t="s">
        <v>10</v>
      </c>
      <c r="N56" s="44" t="s">
        <v>10</v>
      </c>
      <c r="O56" s="41">
        <v>9929</v>
      </c>
      <c r="P56" s="43">
        <v>3229</v>
      </c>
      <c r="Q56" s="44">
        <f t="shared" si="4"/>
        <v>32.52089837848726</v>
      </c>
      <c r="R56" s="41">
        <v>37</v>
      </c>
      <c r="IA56" s="33"/>
      <c r="IB56" s="33"/>
      <c r="IC56" s="33"/>
      <c r="ID56" s="33"/>
      <c r="IE56" s="33"/>
      <c r="IF56" s="33"/>
      <c r="IG56" s="33"/>
      <c r="IH56" s="33"/>
    </row>
    <row r="57" spans="1:242" ht="15" customHeight="1">
      <c r="A57" s="65" t="s">
        <v>468</v>
      </c>
      <c r="B57" s="41">
        <v>2018</v>
      </c>
      <c r="C57" s="38" t="s">
        <v>206</v>
      </c>
      <c r="D57" s="38" t="s">
        <v>469</v>
      </c>
      <c r="E57" s="38" t="s">
        <v>43</v>
      </c>
      <c r="F57" s="38" t="s">
        <v>335</v>
      </c>
      <c r="G57" s="38" t="s">
        <v>387</v>
      </c>
      <c r="H57" s="38" t="s">
        <v>22</v>
      </c>
      <c r="I57" s="38" t="s">
        <v>447</v>
      </c>
      <c r="J57" s="38" t="s">
        <v>11</v>
      </c>
      <c r="K57" s="38" t="s">
        <v>26</v>
      </c>
      <c r="L57" s="38" t="s">
        <v>10</v>
      </c>
      <c r="M57" s="38" t="s">
        <v>10</v>
      </c>
      <c r="N57" s="44" t="s">
        <v>10</v>
      </c>
      <c r="O57" s="41">
        <v>5812</v>
      </c>
      <c r="P57" s="43">
        <v>3406</v>
      </c>
      <c r="Q57" s="44">
        <f t="shared" si="4"/>
        <v>58.602890571231931</v>
      </c>
      <c r="R57" s="41">
        <v>37</v>
      </c>
      <c r="IA57" s="33"/>
      <c r="IB57" s="33"/>
      <c r="IC57" s="33"/>
      <c r="ID57" s="33"/>
      <c r="IE57" s="33"/>
      <c r="IF57" s="33"/>
      <c r="IG57" s="33"/>
      <c r="IH57" s="33"/>
    </row>
    <row r="58" spans="1:242" ht="15" customHeight="1">
      <c r="A58" s="65" t="s">
        <v>468</v>
      </c>
      <c r="B58" s="41">
        <v>2018</v>
      </c>
      <c r="C58" s="38" t="s">
        <v>206</v>
      </c>
      <c r="D58" s="38" t="s">
        <v>469</v>
      </c>
      <c r="E58" s="38" t="s">
        <v>43</v>
      </c>
      <c r="F58" s="38" t="s">
        <v>335</v>
      </c>
      <c r="G58" s="38" t="s">
        <v>387</v>
      </c>
      <c r="H58" s="38" t="s">
        <v>22</v>
      </c>
      <c r="I58" s="38" t="s">
        <v>447</v>
      </c>
      <c r="J58" s="38" t="s">
        <v>11</v>
      </c>
      <c r="K58" s="38" t="s">
        <v>27</v>
      </c>
      <c r="L58" s="38" t="s">
        <v>10</v>
      </c>
      <c r="M58" s="38" t="s">
        <v>10</v>
      </c>
      <c r="N58" s="44" t="s">
        <v>10</v>
      </c>
      <c r="O58" s="41">
        <v>4652</v>
      </c>
      <c r="P58" s="43">
        <v>3187</v>
      </c>
      <c r="Q58" s="44">
        <f t="shared" si="4"/>
        <v>68.508168529664658</v>
      </c>
      <c r="R58" s="41">
        <v>37</v>
      </c>
      <c r="IA58" s="33"/>
      <c r="IB58" s="33"/>
      <c r="IC58" s="33"/>
      <c r="ID58" s="33"/>
      <c r="IE58" s="33"/>
      <c r="IF58" s="33"/>
      <c r="IG58" s="33"/>
      <c r="IH58" s="33"/>
    </row>
    <row r="59" spans="1:242" ht="15" customHeight="1">
      <c r="A59" s="65" t="s">
        <v>468</v>
      </c>
      <c r="B59" s="41">
        <v>2018</v>
      </c>
      <c r="C59" s="38" t="s">
        <v>206</v>
      </c>
      <c r="D59" s="38" t="s">
        <v>469</v>
      </c>
      <c r="E59" s="38" t="s">
        <v>43</v>
      </c>
      <c r="F59" s="38" t="s">
        <v>335</v>
      </c>
      <c r="G59" s="38" t="s">
        <v>387</v>
      </c>
      <c r="H59" s="38" t="s">
        <v>22</v>
      </c>
      <c r="I59" s="38" t="s">
        <v>447</v>
      </c>
      <c r="J59" s="38" t="s">
        <v>11</v>
      </c>
      <c r="K59" s="38" t="s">
        <v>28</v>
      </c>
      <c r="L59" s="38" t="s">
        <v>10</v>
      </c>
      <c r="M59" s="38" t="s">
        <v>10</v>
      </c>
      <c r="N59" s="44" t="s">
        <v>10</v>
      </c>
      <c r="O59" s="41">
        <v>3335</v>
      </c>
      <c r="P59" s="43">
        <v>2548</v>
      </c>
      <c r="Q59" s="44">
        <f t="shared" si="4"/>
        <v>76.401799100449779</v>
      </c>
      <c r="R59" s="41">
        <v>37</v>
      </c>
      <c r="IA59" s="33"/>
      <c r="IB59" s="33"/>
      <c r="IC59" s="33"/>
      <c r="ID59" s="33"/>
      <c r="IE59" s="33"/>
      <c r="IF59" s="33"/>
      <c r="IG59" s="33"/>
      <c r="IH59" s="33"/>
    </row>
    <row r="60" spans="1:242" ht="15" customHeight="1">
      <c r="A60" s="65" t="s">
        <v>468</v>
      </c>
      <c r="B60" s="41">
        <v>2018</v>
      </c>
      <c r="C60" s="38" t="s">
        <v>206</v>
      </c>
      <c r="D60" s="38" t="s">
        <v>469</v>
      </c>
      <c r="E60" s="38" t="s">
        <v>43</v>
      </c>
      <c r="F60" s="38" t="s">
        <v>335</v>
      </c>
      <c r="G60" s="38" t="s">
        <v>387</v>
      </c>
      <c r="H60" s="38" t="s">
        <v>22</v>
      </c>
      <c r="I60" s="38" t="s">
        <v>447</v>
      </c>
      <c r="J60" s="38" t="s">
        <v>11</v>
      </c>
      <c r="K60" s="38" t="s">
        <v>72</v>
      </c>
      <c r="L60" s="38" t="s">
        <v>10</v>
      </c>
      <c r="M60" s="38" t="s">
        <v>10</v>
      </c>
      <c r="N60" s="44" t="s">
        <v>10</v>
      </c>
      <c r="O60" s="41">
        <v>2449</v>
      </c>
      <c r="P60" s="43">
        <v>1835</v>
      </c>
      <c r="Q60" s="44">
        <f t="shared" si="4"/>
        <v>74.928542262147815</v>
      </c>
      <c r="R60" s="41">
        <v>37</v>
      </c>
      <c r="IA60" s="33"/>
      <c r="IB60" s="33"/>
      <c r="IC60" s="33"/>
      <c r="ID60" s="33"/>
      <c r="IE60" s="33"/>
      <c r="IF60" s="33"/>
      <c r="IG60" s="33"/>
      <c r="IH60" s="33"/>
    </row>
    <row r="61" spans="1:242" ht="15" customHeight="1">
      <c r="A61" s="65" t="s">
        <v>475</v>
      </c>
      <c r="B61" s="41">
        <v>2015</v>
      </c>
      <c r="C61" s="38" t="s">
        <v>206</v>
      </c>
      <c r="D61" s="38" t="s">
        <v>411</v>
      </c>
      <c r="E61" s="38" t="s">
        <v>9</v>
      </c>
      <c r="F61" s="38" t="s">
        <v>9</v>
      </c>
      <c r="G61" s="38" t="s">
        <v>9</v>
      </c>
      <c r="H61" s="38" t="s">
        <v>476</v>
      </c>
      <c r="I61" s="38" t="s">
        <v>477</v>
      </c>
      <c r="J61" s="38" t="s">
        <v>11</v>
      </c>
      <c r="K61" s="38" t="s">
        <v>478</v>
      </c>
      <c r="L61" s="38" t="s">
        <v>10</v>
      </c>
      <c r="M61" s="38" t="s">
        <v>10</v>
      </c>
      <c r="N61" s="44" t="s">
        <v>10</v>
      </c>
      <c r="O61" s="43">
        <f>50+96+117</f>
        <v>263</v>
      </c>
      <c r="P61" s="43">
        <f>47+117</f>
        <v>164</v>
      </c>
      <c r="Q61" s="44">
        <f>P61*100/O61</f>
        <v>62.357414448669203</v>
      </c>
      <c r="R61" s="41">
        <v>38</v>
      </c>
      <c r="IA61" s="33"/>
      <c r="IB61" s="33"/>
      <c r="IC61" s="33"/>
      <c r="ID61" s="33"/>
      <c r="IE61" s="33"/>
      <c r="IF61" s="33"/>
      <c r="IG61" s="33"/>
      <c r="IH61" s="33"/>
    </row>
    <row r="62" spans="1:242" ht="15" customHeight="1">
      <c r="A62" s="65" t="s">
        <v>479</v>
      </c>
      <c r="B62" s="41">
        <v>2016</v>
      </c>
      <c r="C62" s="38" t="s">
        <v>206</v>
      </c>
      <c r="D62" s="38" t="s">
        <v>411</v>
      </c>
      <c r="E62" s="38" t="s">
        <v>480</v>
      </c>
      <c r="F62" s="38" t="s">
        <v>337</v>
      </c>
      <c r="G62" s="38" t="s">
        <v>481</v>
      </c>
      <c r="H62" s="42" t="s">
        <v>482</v>
      </c>
      <c r="I62" s="38" t="s">
        <v>141</v>
      </c>
      <c r="J62" s="38" t="s">
        <v>11</v>
      </c>
      <c r="K62" s="38" t="s">
        <v>483</v>
      </c>
      <c r="L62" s="38" t="s">
        <v>10</v>
      </c>
      <c r="M62" s="38" t="s">
        <v>10</v>
      </c>
      <c r="N62" s="44" t="s">
        <v>10</v>
      </c>
      <c r="O62" s="43">
        <v>2236</v>
      </c>
      <c r="P62" s="43">
        <f>Q62*O62/100</f>
        <v>1453.4</v>
      </c>
      <c r="Q62" s="44">
        <v>65</v>
      </c>
      <c r="R62" s="41">
        <v>40</v>
      </c>
      <c r="IA62" s="33"/>
      <c r="IB62" s="33"/>
      <c r="IC62" s="33"/>
      <c r="ID62" s="33"/>
      <c r="IE62" s="33"/>
      <c r="IF62" s="33"/>
      <c r="IG62" s="33"/>
      <c r="IH62" s="33"/>
    </row>
    <row r="63" spans="1:242" ht="15" customHeight="1">
      <c r="A63" s="65" t="s">
        <v>485</v>
      </c>
      <c r="B63" s="41">
        <v>2017</v>
      </c>
      <c r="C63" s="38" t="s">
        <v>206</v>
      </c>
      <c r="D63" s="38" t="s">
        <v>411</v>
      </c>
      <c r="E63" s="38" t="s">
        <v>486</v>
      </c>
      <c r="F63" s="38" t="s">
        <v>487</v>
      </c>
      <c r="G63" s="38" t="s">
        <v>128</v>
      </c>
      <c r="H63" s="42" t="s">
        <v>636</v>
      </c>
      <c r="I63" s="38" t="s">
        <v>488</v>
      </c>
      <c r="J63" s="38" t="s">
        <v>11</v>
      </c>
      <c r="K63" s="38" t="s">
        <v>489</v>
      </c>
      <c r="L63" s="38" t="s">
        <v>10</v>
      </c>
      <c r="M63" s="38" t="s">
        <v>10</v>
      </c>
      <c r="N63" s="44" t="s">
        <v>10</v>
      </c>
      <c r="O63" s="43">
        <v>2326</v>
      </c>
      <c r="P63" s="43">
        <v>106</v>
      </c>
      <c r="Q63" s="44">
        <f>P63*100/O63</f>
        <v>4.5571797076526224</v>
      </c>
      <c r="R63" s="41">
        <v>41</v>
      </c>
      <c r="IA63" s="33"/>
      <c r="IB63" s="33"/>
      <c r="IC63" s="33"/>
      <c r="ID63" s="33"/>
      <c r="IE63" s="33"/>
      <c r="IF63" s="33"/>
      <c r="IG63" s="33"/>
      <c r="IH63" s="33"/>
    </row>
    <row r="64" spans="1:242" ht="15" customHeight="1">
      <c r="A64" s="65" t="s">
        <v>490</v>
      </c>
      <c r="B64" s="41">
        <v>2014</v>
      </c>
      <c r="C64" s="38" t="s">
        <v>206</v>
      </c>
      <c r="D64" s="38" t="s">
        <v>484</v>
      </c>
      <c r="E64" s="38" t="s">
        <v>491</v>
      </c>
      <c r="F64" s="38" t="s">
        <v>9</v>
      </c>
      <c r="G64" s="38" t="s">
        <v>370</v>
      </c>
      <c r="H64" s="38" t="s">
        <v>125</v>
      </c>
      <c r="I64" s="38" t="s">
        <v>492</v>
      </c>
      <c r="J64" s="38" t="s">
        <v>11</v>
      </c>
      <c r="K64" s="38" t="s">
        <v>493</v>
      </c>
      <c r="L64" s="38" t="s">
        <v>10</v>
      </c>
      <c r="M64" s="38" t="s">
        <v>10</v>
      </c>
      <c r="N64" s="44" t="s">
        <v>10</v>
      </c>
      <c r="O64" s="43">
        <v>3419</v>
      </c>
      <c r="P64" s="43">
        <v>870</v>
      </c>
      <c r="Q64" s="44">
        <v>25.5</v>
      </c>
      <c r="R64" s="41">
        <v>42</v>
      </c>
      <c r="IA64" s="33"/>
      <c r="IB64" s="33"/>
      <c r="IC64" s="33"/>
      <c r="ID64" s="33"/>
      <c r="IE64" s="33"/>
      <c r="IF64" s="33"/>
      <c r="IG64" s="33"/>
      <c r="IH64" s="33"/>
    </row>
    <row r="65" spans="1:242" ht="15" customHeight="1">
      <c r="A65" s="65" t="s">
        <v>490</v>
      </c>
      <c r="B65" s="41">
        <v>2014</v>
      </c>
      <c r="C65" s="38" t="s">
        <v>206</v>
      </c>
      <c r="D65" s="38" t="s">
        <v>484</v>
      </c>
      <c r="E65" s="38" t="s">
        <v>491</v>
      </c>
      <c r="F65" s="38" t="s">
        <v>9</v>
      </c>
      <c r="G65" s="38" t="s">
        <v>370</v>
      </c>
      <c r="H65" s="38" t="s">
        <v>125</v>
      </c>
      <c r="I65" s="38" t="s">
        <v>492</v>
      </c>
      <c r="J65" s="38" t="s">
        <v>11</v>
      </c>
      <c r="K65" s="38" t="s">
        <v>24</v>
      </c>
      <c r="L65" s="38" t="s">
        <v>10</v>
      </c>
      <c r="M65" s="38" t="s">
        <v>10</v>
      </c>
      <c r="N65" s="44" t="s">
        <v>10</v>
      </c>
      <c r="O65" s="43">
        <v>1240</v>
      </c>
      <c r="P65" s="43">
        <v>126</v>
      </c>
      <c r="Q65" s="44">
        <f>P65*100/O65</f>
        <v>10.161290322580646</v>
      </c>
      <c r="R65" s="41">
        <v>42</v>
      </c>
      <c r="IA65" s="33"/>
      <c r="IB65" s="33"/>
      <c r="IC65" s="33"/>
      <c r="ID65" s="33"/>
      <c r="IE65" s="33"/>
      <c r="IF65" s="33"/>
      <c r="IG65" s="33"/>
      <c r="IH65" s="33"/>
    </row>
    <row r="66" spans="1:242" ht="15" customHeight="1">
      <c r="A66" s="65" t="s">
        <v>490</v>
      </c>
      <c r="B66" s="41">
        <v>2014</v>
      </c>
      <c r="C66" s="38" t="s">
        <v>206</v>
      </c>
      <c r="D66" s="38" t="s">
        <v>484</v>
      </c>
      <c r="E66" s="38" t="s">
        <v>491</v>
      </c>
      <c r="F66" s="38" t="s">
        <v>9</v>
      </c>
      <c r="G66" s="38" t="s">
        <v>370</v>
      </c>
      <c r="H66" s="38" t="s">
        <v>125</v>
      </c>
      <c r="I66" s="38" t="s">
        <v>492</v>
      </c>
      <c r="J66" s="38" t="s">
        <v>11</v>
      </c>
      <c r="K66" s="38" t="s">
        <v>25</v>
      </c>
      <c r="L66" s="38" t="s">
        <v>10</v>
      </c>
      <c r="M66" s="38" t="s">
        <v>10</v>
      </c>
      <c r="N66" s="44" t="s">
        <v>10</v>
      </c>
      <c r="O66" s="43">
        <v>1072</v>
      </c>
      <c r="P66" s="43">
        <v>276</v>
      </c>
      <c r="Q66" s="44">
        <v>25.8</v>
      </c>
      <c r="R66" s="41">
        <v>42</v>
      </c>
      <c r="IA66" s="33"/>
      <c r="IB66" s="33"/>
      <c r="IC66" s="33"/>
      <c r="ID66" s="33"/>
      <c r="IE66" s="33"/>
      <c r="IF66" s="33"/>
      <c r="IG66" s="33"/>
      <c r="IH66" s="33"/>
    </row>
    <row r="67" spans="1:242" ht="15" customHeight="1">
      <c r="A67" s="65" t="s">
        <v>490</v>
      </c>
      <c r="B67" s="41">
        <v>2014</v>
      </c>
      <c r="C67" s="38" t="s">
        <v>206</v>
      </c>
      <c r="D67" s="38" t="s">
        <v>484</v>
      </c>
      <c r="E67" s="38" t="s">
        <v>491</v>
      </c>
      <c r="F67" s="38" t="s">
        <v>9</v>
      </c>
      <c r="G67" s="38" t="s">
        <v>370</v>
      </c>
      <c r="H67" s="38" t="s">
        <v>125</v>
      </c>
      <c r="I67" s="38" t="s">
        <v>492</v>
      </c>
      <c r="J67" s="38" t="s">
        <v>11</v>
      </c>
      <c r="K67" s="42" t="s">
        <v>617</v>
      </c>
      <c r="L67" s="38" t="s">
        <v>10</v>
      </c>
      <c r="M67" s="38" t="s">
        <v>10</v>
      </c>
      <c r="N67" s="44" t="s">
        <v>10</v>
      </c>
      <c r="O67" s="43">
        <v>1107</v>
      </c>
      <c r="P67" s="43">
        <v>468</v>
      </c>
      <c r="Q67" s="44">
        <f t="shared" ref="Q67:Q87" si="5">P67*100/O67</f>
        <v>42.27642276422764</v>
      </c>
      <c r="R67" s="41">
        <v>42</v>
      </c>
      <c r="IA67" s="33"/>
      <c r="IB67" s="33"/>
      <c r="IC67" s="33"/>
      <c r="ID67" s="33"/>
      <c r="IE67" s="33"/>
      <c r="IF67" s="33"/>
      <c r="IG67" s="33"/>
      <c r="IH67" s="33"/>
    </row>
    <row r="68" spans="1:242" ht="15" customHeight="1">
      <c r="A68" s="65" t="s">
        <v>494</v>
      </c>
      <c r="B68" s="38" t="s">
        <v>495</v>
      </c>
      <c r="C68" s="38" t="s">
        <v>206</v>
      </c>
      <c r="D68" s="38" t="s">
        <v>451</v>
      </c>
      <c r="E68" s="38" t="s">
        <v>496</v>
      </c>
      <c r="F68" s="38" t="s">
        <v>9</v>
      </c>
      <c r="G68" s="38" t="s">
        <v>128</v>
      </c>
      <c r="H68" s="42" t="s">
        <v>497</v>
      </c>
      <c r="I68" s="38" t="s">
        <v>498</v>
      </c>
      <c r="J68" s="38" t="s">
        <v>16</v>
      </c>
      <c r="K68" s="38" t="s">
        <v>499</v>
      </c>
      <c r="L68" s="38" t="s">
        <v>10</v>
      </c>
      <c r="M68" s="38" t="s">
        <v>10</v>
      </c>
      <c r="N68" s="44" t="s">
        <v>10</v>
      </c>
      <c r="O68" s="43">
        <v>837</v>
      </c>
      <c r="P68" s="43">
        <v>25</v>
      </c>
      <c r="Q68" s="44">
        <f t="shared" si="5"/>
        <v>2.9868578255675029</v>
      </c>
      <c r="R68" s="42" t="s">
        <v>643</v>
      </c>
      <c r="IA68" s="33"/>
      <c r="IB68" s="33"/>
      <c r="IC68" s="33"/>
      <c r="ID68" s="33"/>
      <c r="IE68" s="33"/>
      <c r="IF68" s="33"/>
      <c r="IG68" s="33"/>
      <c r="IH68" s="33"/>
    </row>
    <row r="69" spans="1:242" ht="15" customHeight="1">
      <c r="A69" s="65" t="s">
        <v>500</v>
      </c>
      <c r="B69" s="41">
        <v>2015</v>
      </c>
      <c r="C69" s="38" t="s">
        <v>206</v>
      </c>
      <c r="D69" s="38" t="s">
        <v>501</v>
      </c>
      <c r="E69" s="38" t="s">
        <v>502</v>
      </c>
      <c r="F69" s="38" t="s">
        <v>9</v>
      </c>
      <c r="G69" s="41">
        <v>2009</v>
      </c>
      <c r="H69" s="38" t="s">
        <v>503</v>
      </c>
      <c r="I69" s="38" t="s">
        <v>504</v>
      </c>
      <c r="J69" s="38" t="s">
        <v>16</v>
      </c>
      <c r="K69" s="38" t="s">
        <v>505</v>
      </c>
      <c r="L69" s="38" t="s">
        <v>10</v>
      </c>
      <c r="M69" s="38" t="s">
        <v>10</v>
      </c>
      <c r="N69" s="44" t="s">
        <v>10</v>
      </c>
      <c r="O69" s="43">
        <f t="shared" ref="O69:P72" si="6">O73+O77</f>
        <v>140</v>
      </c>
      <c r="P69" s="43">
        <f t="shared" si="6"/>
        <v>23</v>
      </c>
      <c r="Q69" s="44">
        <f t="shared" si="5"/>
        <v>16.428571428571427</v>
      </c>
      <c r="R69" s="41">
        <v>45</v>
      </c>
      <c r="IA69" s="33"/>
      <c r="IB69" s="33"/>
      <c r="IC69" s="33"/>
      <c r="ID69" s="33"/>
      <c r="IE69" s="33"/>
      <c r="IF69" s="33"/>
      <c r="IG69" s="33"/>
      <c r="IH69" s="33"/>
    </row>
    <row r="70" spans="1:242" ht="15" customHeight="1">
      <c r="A70" s="65" t="s">
        <v>500</v>
      </c>
      <c r="B70" s="41">
        <v>2015</v>
      </c>
      <c r="C70" s="38" t="s">
        <v>206</v>
      </c>
      <c r="D70" s="38" t="s">
        <v>501</v>
      </c>
      <c r="E70" s="38" t="s">
        <v>502</v>
      </c>
      <c r="F70" s="38" t="s">
        <v>9</v>
      </c>
      <c r="G70" s="41">
        <v>2009</v>
      </c>
      <c r="H70" s="38" t="s">
        <v>503</v>
      </c>
      <c r="I70" s="38" t="s">
        <v>504</v>
      </c>
      <c r="J70" s="38" t="s">
        <v>16</v>
      </c>
      <c r="K70" s="38" t="s">
        <v>252</v>
      </c>
      <c r="L70" s="38" t="s">
        <v>10</v>
      </c>
      <c r="M70" s="38" t="s">
        <v>10</v>
      </c>
      <c r="N70" s="44" t="s">
        <v>10</v>
      </c>
      <c r="O70" s="43">
        <f t="shared" si="6"/>
        <v>117</v>
      </c>
      <c r="P70" s="43">
        <f t="shared" si="6"/>
        <v>42</v>
      </c>
      <c r="Q70" s="44">
        <f t="shared" si="5"/>
        <v>35.897435897435898</v>
      </c>
      <c r="R70" s="41">
        <v>45</v>
      </c>
      <c r="IA70" s="33"/>
      <c r="IB70" s="33"/>
      <c r="IC70" s="33"/>
      <c r="ID70" s="33"/>
      <c r="IE70" s="33"/>
      <c r="IF70" s="33"/>
      <c r="IG70" s="33"/>
      <c r="IH70" s="33"/>
    </row>
    <row r="71" spans="1:242" ht="15" customHeight="1">
      <c r="A71" s="65" t="s">
        <v>500</v>
      </c>
      <c r="B71" s="41">
        <v>2015</v>
      </c>
      <c r="C71" s="38" t="s">
        <v>206</v>
      </c>
      <c r="D71" s="38" t="s">
        <v>501</v>
      </c>
      <c r="E71" s="38" t="s">
        <v>502</v>
      </c>
      <c r="F71" s="38" t="s">
        <v>9</v>
      </c>
      <c r="G71" s="41">
        <v>2009</v>
      </c>
      <c r="H71" s="38" t="s">
        <v>503</v>
      </c>
      <c r="I71" s="38" t="s">
        <v>504</v>
      </c>
      <c r="J71" s="38" t="s">
        <v>16</v>
      </c>
      <c r="K71" s="38" t="s">
        <v>253</v>
      </c>
      <c r="L71" s="38" t="s">
        <v>10</v>
      </c>
      <c r="M71" s="38" t="s">
        <v>10</v>
      </c>
      <c r="N71" s="44" t="s">
        <v>10</v>
      </c>
      <c r="O71" s="43">
        <f t="shared" si="6"/>
        <v>70</v>
      </c>
      <c r="P71" s="43">
        <f t="shared" si="6"/>
        <v>37</v>
      </c>
      <c r="Q71" s="44">
        <f t="shared" si="5"/>
        <v>52.857142857142854</v>
      </c>
      <c r="R71" s="41">
        <v>45</v>
      </c>
      <c r="IA71" s="33"/>
      <c r="IB71" s="33"/>
      <c r="IC71" s="33"/>
      <c r="ID71" s="33"/>
      <c r="IE71" s="33"/>
      <c r="IF71" s="33"/>
      <c r="IG71" s="33"/>
      <c r="IH71" s="33"/>
    </row>
    <row r="72" spans="1:242" ht="15" customHeight="1">
      <c r="A72" s="65" t="s">
        <v>500</v>
      </c>
      <c r="B72" s="41">
        <v>2015</v>
      </c>
      <c r="C72" s="38" t="s">
        <v>206</v>
      </c>
      <c r="D72" s="38" t="s">
        <v>501</v>
      </c>
      <c r="E72" s="38" t="s">
        <v>502</v>
      </c>
      <c r="F72" s="38" t="s">
        <v>9</v>
      </c>
      <c r="G72" s="41">
        <v>2009</v>
      </c>
      <c r="H72" s="38" t="s">
        <v>503</v>
      </c>
      <c r="I72" s="38" t="s">
        <v>504</v>
      </c>
      <c r="J72" s="38" t="s">
        <v>16</v>
      </c>
      <c r="K72" s="38" t="s">
        <v>506</v>
      </c>
      <c r="L72" s="38" t="s">
        <v>10</v>
      </c>
      <c r="M72" s="38" t="s">
        <v>10</v>
      </c>
      <c r="N72" s="44" t="s">
        <v>10</v>
      </c>
      <c r="O72" s="43">
        <f t="shared" si="6"/>
        <v>75</v>
      </c>
      <c r="P72" s="43">
        <f t="shared" si="6"/>
        <v>39</v>
      </c>
      <c r="Q72" s="44">
        <f t="shared" si="5"/>
        <v>52</v>
      </c>
      <c r="R72" s="41">
        <v>45</v>
      </c>
      <c r="IA72" s="33"/>
      <c r="IB72" s="33"/>
      <c r="IC72" s="33"/>
      <c r="ID72" s="33"/>
      <c r="IE72" s="33"/>
      <c r="IF72" s="33"/>
      <c r="IG72" s="33"/>
      <c r="IH72" s="33"/>
    </row>
    <row r="73" spans="1:242" ht="15" customHeight="1">
      <c r="A73" s="65" t="s">
        <v>500</v>
      </c>
      <c r="B73" s="41">
        <v>2015</v>
      </c>
      <c r="C73" s="38" t="s">
        <v>206</v>
      </c>
      <c r="D73" s="38" t="s">
        <v>501</v>
      </c>
      <c r="E73" s="38" t="s">
        <v>502</v>
      </c>
      <c r="F73" s="38" t="s">
        <v>9</v>
      </c>
      <c r="G73" s="41">
        <v>2009</v>
      </c>
      <c r="H73" s="38" t="s">
        <v>503</v>
      </c>
      <c r="I73" s="38" t="s">
        <v>504</v>
      </c>
      <c r="J73" s="38" t="s">
        <v>23</v>
      </c>
      <c r="K73" s="38" t="s">
        <v>505</v>
      </c>
      <c r="L73" s="38" t="s">
        <v>10</v>
      </c>
      <c r="M73" s="38" t="s">
        <v>10</v>
      </c>
      <c r="N73" s="44" t="s">
        <v>10</v>
      </c>
      <c r="O73" s="43">
        <v>62</v>
      </c>
      <c r="P73" s="43">
        <v>6</v>
      </c>
      <c r="Q73" s="44">
        <f t="shared" si="5"/>
        <v>9.67741935483871</v>
      </c>
      <c r="R73" s="41">
        <v>45</v>
      </c>
      <c r="IA73" s="33"/>
      <c r="IB73" s="33"/>
      <c r="IC73" s="33"/>
      <c r="ID73" s="33"/>
      <c r="IE73" s="33"/>
      <c r="IF73" s="33"/>
      <c r="IG73" s="33"/>
      <c r="IH73" s="33"/>
    </row>
    <row r="74" spans="1:242" ht="15" customHeight="1">
      <c r="A74" s="65" t="s">
        <v>500</v>
      </c>
      <c r="B74" s="41">
        <v>2015</v>
      </c>
      <c r="C74" s="38" t="s">
        <v>206</v>
      </c>
      <c r="D74" s="38" t="s">
        <v>501</v>
      </c>
      <c r="E74" s="38" t="s">
        <v>502</v>
      </c>
      <c r="F74" s="38" t="s">
        <v>9</v>
      </c>
      <c r="G74" s="41">
        <v>2009</v>
      </c>
      <c r="H74" s="38" t="s">
        <v>503</v>
      </c>
      <c r="I74" s="38" t="s">
        <v>504</v>
      </c>
      <c r="J74" s="38" t="s">
        <v>23</v>
      </c>
      <c r="K74" s="38" t="s">
        <v>252</v>
      </c>
      <c r="L74" s="38" t="s">
        <v>10</v>
      </c>
      <c r="M74" s="38" t="s">
        <v>10</v>
      </c>
      <c r="N74" s="44" t="s">
        <v>10</v>
      </c>
      <c r="O74" s="43">
        <v>61</v>
      </c>
      <c r="P74" s="43">
        <v>10</v>
      </c>
      <c r="Q74" s="44">
        <f t="shared" si="5"/>
        <v>16.393442622950818</v>
      </c>
      <c r="R74" s="41">
        <v>45</v>
      </c>
      <c r="IA74" s="33"/>
      <c r="IB74" s="33"/>
      <c r="IC74" s="33"/>
      <c r="ID74" s="33"/>
      <c r="IE74" s="33"/>
      <c r="IF74" s="33"/>
      <c r="IG74" s="33"/>
      <c r="IH74" s="33"/>
    </row>
    <row r="75" spans="1:242" ht="15" customHeight="1">
      <c r="A75" s="65" t="s">
        <v>500</v>
      </c>
      <c r="B75" s="41">
        <v>2015</v>
      </c>
      <c r="C75" s="38" t="s">
        <v>206</v>
      </c>
      <c r="D75" s="38" t="s">
        <v>501</v>
      </c>
      <c r="E75" s="38" t="s">
        <v>502</v>
      </c>
      <c r="F75" s="38" t="s">
        <v>9</v>
      </c>
      <c r="G75" s="41">
        <v>2009</v>
      </c>
      <c r="H75" s="38" t="s">
        <v>503</v>
      </c>
      <c r="I75" s="38" t="s">
        <v>504</v>
      </c>
      <c r="J75" s="38" t="s">
        <v>23</v>
      </c>
      <c r="K75" s="38" t="s">
        <v>253</v>
      </c>
      <c r="L75" s="38" t="s">
        <v>10</v>
      </c>
      <c r="M75" s="38" t="s">
        <v>10</v>
      </c>
      <c r="N75" s="44" t="s">
        <v>10</v>
      </c>
      <c r="O75" s="43">
        <v>37</v>
      </c>
      <c r="P75" s="43">
        <v>11</v>
      </c>
      <c r="Q75" s="44">
        <f t="shared" si="5"/>
        <v>29.72972972972973</v>
      </c>
      <c r="R75" s="41">
        <v>45</v>
      </c>
      <c r="IA75" s="33"/>
      <c r="IB75" s="33"/>
      <c r="IC75" s="33"/>
      <c r="ID75" s="33"/>
      <c r="IE75" s="33"/>
      <c r="IF75" s="33"/>
      <c r="IG75" s="33"/>
      <c r="IH75" s="33"/>
    </row>
    <row r="76" spans="1:242" ht="15" customHeight="1">
      <c r="A76" s="65" t="s">
        <v>500</v>
      </c>
      <c r="B76" s="41">
        <v>2015</v>
      </c>
      <c r="C76" s="38" t="s">
        <v>206</v>
      </c>
      <c r="D76" s="38" t="s">
        <v>501</v>
      </c>
      <c r="E76" s="38" t="s">
        <v>502</v>
      </c>
      <c r="F76" s="38" t="s">
        <v>9</v>
      </c>
      <c r="G76" s="41">
        <v>2009</v>
      </c>
      <c r="H76" s="38" t="s">
        <v>503</v>
      </c>
      <c r="I76" s="38" t="s">
        <v>504</v>
      </c>
      <c r="J76" s="38" t="s">
        <v>23</v>
      </c>
      <c r="K76" s="38" t="s">
        <v>506</v>
      </c>
      <c r="L76" s="38" t="s">
        <v>10</v>
      </c>
      <c r="M76" s="38" t="s">
        <v>10</v>
      </c>
      <c r="N76" s="44" t="s">
        <v>10</v>
      </c>
      <c r="O76" s="43">
        <v>45</v>
      </c>
      <c r="P76" s="43">
        <v>20</v>
      </c>
      <c r="Q76" s="44">
        <f t="shared" si="5"/>
        <v>44.444444444444443</v>
      </c>
      <c r="R76" s="41">
        <v>45</v>
      </c>
      <c r="IA76" s="33"/>
      <c r="IB76" s="33"/>
      <c r="IC76" s="33"/>
      <c r="ID76" s="33"/>
      <c r="IE76" s="33"/>
      <c r="IF76" s="33"/>
      <c r="IG76" s="33"/>
      <c r="IH76" s="33"/>
    </row>
    <row r="77" spans="1:242" ht="15" customHeight="1">
      <c r="A77" s="65" t="s">
        <v>500</v>
      </c>
      <c r="B77" s="41">
        <v>2015</v>
      </c>
      <c r="C77" s="38" t="s">
        <v>206</v>
      </c>
      <c r="D77" s="38" t="s">
        <v>501</v>
      </c>
      <c r="E77" s="38" t="s">
        <v>502</v>
      </c>
      <c r="F77" s="38" t="s">
        <v>9</v>
      </c>
      <c r="G77" s="41">
        <v>2009</v>
      </c>
      <c r="H77" s="38" t="s">
        <v>503</v>
      </c>
      <c r="I77" s="38" t="s">
        <v>504</v>
      </c>
      <c r="J77" s="38" t="s">
        <v>11</v>
      </c>
      <c r="K77" s="38" t="s">
        <v>505</v>
      </c>
      <c r="L77" s="38" t="s">
        <v>10</v>
      </c>
      <c r="M77" s="38" t="s">
        <v>10</v>
      </c>
      <c r="N77" s="44" t="s">
        <v>10</v>
      </c>
      <c r="O77" s="43">
        <v>78</v>
      </c>
      <c r="P77" s="43">
        <v>17</v>
      </c>
      <c r="Q77" s="44">
        <f t="shared" si="5"/>
        <v>21.794871794871796</v>
      </c>
      <c r="R77" s="41">
        <v>45</v>
      </c>
      <c r="IA77" s="33"/>
      <c r="IB77" s="33"/>
      <c r="IC77" s="33"/>
      <c r="ID77" s="33"/>
      <c r="IE77" s="33"/>
      <c r="IF77" s="33"/>
      <c r="IG77" s="33"/>
      <c r="IH77" s="33"/>
    </row>
    <row r="78" spans="1:242" ht="15" customHeight="1">
      <c r="A78" s="65" t="s">
        <v>500</v>
      </c>
      <c r="B78" s="41">
        <v>2015</v>
      </c>
      <c r="C78" s="38" t="s">
        <v>206</v>
      </c>
      <c r="D78" s="38" t="s">
        <v>501</v>
      </c>
      <c r="E78" s="38" t="s">
        <v>502</v>
      </c>
      <c r="F78" s="38" t="s">
        <v>9</v>
      </c>
      <c r="G78" s="41">
        <v>2009</v>
      </c>
      <c r="H78" s="38" t="s">
        <v>503</v>
      </c>
      <c r="I78" s="38" t="s">
        <v>504</v>
      </c>
      <c r="J78" s="38" t="s">
        <v>11</v>
      </c>
      <c r="K78" s="38" t="s">
        <v>252</v>
      </c>
      <c r="L78" s="38" t="s">
        <v>10</v>
      </c>
      <c r="M78" s="38" t="s">
        <v>10</v>
      </c>
      <c r="N78" s="44" t="s">
        <v>10</v>
      </c>
      <c r="O78" s="43">
        <v>56</v>
      </c>
      <c r="P78" s="43">
        <v>32</v>
      </c>
      <c r="Q78" s="44">
        <f t="shared" si="5"/>
        <v>57.142857142857146</v>
      </c>
      <c r="R78" s="41">
        <v>45</v>
      </c>
      <c r="IA78" s="33"/>
      <c r="IB78" s="33"/>
      <c r="IC78" s="33"/>
      <c r="ID78" s="33"/>
      <c r="IE78" s="33"/>
      <c r="IF78" s="33"/>
      <c r="IG78" s="33"/>
      <c r="IH78" s="33"/>
    </row>
    <row r="79" spans="1:242" ht="15" customHeight="1">
      <c r="A79" s="65" t="s">
        <v>500</v>
      </c>
      <c r="B79" s="41">
        <v>2015</v>
      </c>
      <c r="C79" s="38" t="s">
        <v>206</v>
      </c>
      <c r="D79" s="38" t="s">
        <v>501</v>
      </c>
      <c r="E79" s="38" t="s">
        <v>502</v>
      </c>
      <c r="F79" s="38" t="s">
        <v>9</v>
      </c>
      <c r="G79" s="41">
        <v>2009</v>
      </c>
      <c r="H79" s="38" t="s">
        <v>503</v>
      </c>
      <c r="I79" s="38" t="s">
        <v>504</v>
      </c>
      <c r="J79" s="38" t="s">
        <v>11</v>
      </c>
      <c r="K79" s="38" t="s">
        <v>253</v>
      </c>
      <c r="L79" s="38" t="s">
        <v>10</v>
      </c>
      <c r="M79" s="38" t="s">
        <v>10</v>
      </c>
      <c r="N79" s="44" t="s">
        <v>10</v>
      </c>
      <c r="O79" s="43">
        <v>33</v>
      </c>
      <c r="P79" s="43">
        <v>26</v>
      </c>
      <c r="Q79" s="44">
        <f t="shared" si="5"/>
        <v>78.787878787878782</v>
      </c>
      <c r="R79" s="41">
        <v>45</v>
      </c>
      <c r="IA79" s="33"/>
      <c r="IB79" s="33"/>
      <c r="IC79" s="33"/>
      <c r="ID79" s="33"/>
      <c r="IE79" s="33"/>
      <c r="IF79" s="33"/>
      <c r="IG79" s="33"/>
      <c r="IH79" s="33"/>
    </row>
    <row r="80" spans="1:242" ht="15" customHeight="1">
      <c r="A80" s="65" t="s">
        <v>500</v>
      </c>
      <c r="B80" s="41">
        <v>2015</v>
      </c>
      <c r="C80" s="38" t="s">
        <v>206</v>
      </c>
      <c r="D80" s="38" t="s">
        <v>501</v>
      </c>
      <c r="E80" s="38" t="s">
        <v>502</v>
      </c>
      <c r="F80" s="38" t="s">
        <v>9</v>
      </c>
      <c r="G80" s="41">
        <v>2009</v>
      </c>
      <c r="H80" s="38" t="s">
        <v>503</v>
      </c>
      <c r="I80" s="38" t="s">
        <v>504</v>
      </c>
      <c r="J80" s="38" t="s">
        <v>11</v>
      </c>
      <c r="K80" s="38" t="s">
        <v>506</v>
      </c>
      <c r="L80" s="38" t="s">
        <v>10</v>
      </c>
      <c r="M80" s="38" t="s">
        <v>10</v>
      </c>
      <c r="N80" s="44" t="s">
        <v>10</v>
      </c>
      <c r="O80" s="43">
        <v>30</v>
      </c>
      <c r="P80" s="43">
        <v>19</v>
      </c>
      <c r="Q80" s="44">
        <f t="shared" si="5"/>
        <v>63.333333333333336</v>
      </c>
      <c r="R80" s="41">
        <v>45</v>
      </c>
      <c r="IA80" s="33"/>
      <c r="IB80" s="33"/>
      <c r="IC80" s="33"/>
      <c r="ID80" s="33"/>
      <c r="IE80" s="33"/>
      <c r="IF80" s="33"/>
      <c r="IG80" s="33"/>
      <c r="IH80" s="33"/>
    </row>
    <row r="81" spans="1:242" ht="15" customHeight="1">
      <c r="A81" s="65" t="s">
        <v>507</v>
      </c>
      <c r="B81" s="38" t="s">
        <v>508</v>
      </c>
      <c r="C81" s="38" t="s">
        <v>206</v>
      </c>
      <c r="D81" s="38" t="s">
        <v>509</v>
      </c>
      <c r="E81" s="38" t="s">
        <v>510</v>
      </c>
      <c r="F81" s="38" t="s">
        <v>9</v>
      </c>
      <c r="G81" s="38" t="s">
        <v>128</v>
      </c>
      <c r="H81" s="38" t="s">
        <v>312</v>
      </c>
      <c r="I81" s="42" t="s">
        <v>637</v>
      </c>
      <c r="J81" s="38" t="s">
        <v>11</v>
      </c>
      <c r="K81" s="38" t="s">
        <v>511</v>
      </c>
      <c r="L81" s="41">
        <v>674</v>
      </c>
      <c r="M81" s="43">
        <v>649</v>
      </c>
      <c r="N81" s="44">
        <f>M81*100/L81</f>
        <v>96.290801186943625</v>
      </c>
      <c r="O81" s="43">
        <v>674</v>
      </c>
      <c r="P81" s="43">
        <v>312</v>
      </c>
      <c r="Q81" s="44">
        <f t="shared" si="5"/>
        <v>46.290801186943618</v>
      </c>
      <c r="R81" s="42" t="s">
        <v>644</v>
      </c>
      <c r="IA81" s="33"/>
      <c r="IB81" s="33"/>
      <c r="IC81" s="33"/>
      <c r="ID81" s="33"/>
      <c r="IE81" s="33"/>
      <c r="IF81" s="33"/>
      <c r="IG81" s="33"/>
      <c r="IH81" s="33"/>
    </row>
    <row r="82" spans="1:242" ht="15" customHeight="1">
      <c r="A82" s="65" t="s">
        <v>507</v>
      </c>
      <c r="B82" s="38" t="s">
        <v>508</v>
      </c>
      <c r="C82" s="38" t="s">
        <v>206</v>
      </c>
      <c r="D82" s="38" t="s">
        <v>509</v>
      </c>
      <c r="E82" s="38" t="s">
        <v>510</v>
      </c>
      <c r="F82" s="38" t="s">
        <v>9</v>
      </c>
      <c r="G82" s="38" t="s">
        <v>128</v>
      </c>
      <c r="H82" s="38" t="s">
        <v>312</v>
      </c>
      <c r="I82" s="42" t="s">
        <v>637</v>
      </c>
      <c r="J82" s="38" t="s">
        <v>11</v>
      </c>
      <c r="K82" s="38" t="s">
        <v>512</v>
      </c>
      <c r="L82" s="38" t="s">
        <v>10</v>
      </c>
      <c r="M82" s="38" t="s">
        <v>10</v>
      </c>
      <c r="N82" s="44" t="s">
        <v>10</v>
      </c>
      <c r="O82" s="43">
        <v>7</v>
      </c>
      <c r="P82" s="43">
        <v>2</v>
      </c>
      <c r="Q82" s="44">
        <f t="shared" si="5"/>
        <v>28.571428571428573</v>
      </c>
      <c r="R82" s="42" t="s">
        <v>644</v>
      </c>
      <c r="IA82" s="33"/>
      <c r="IB82" s="33"/>
      <c r="IC82" s="33"/>
      <c r="ID82" s="33"/>
      <c r="IE82" s="33"/>
      <c r="IF82" s="33"/>
      <c r="IG82" s="33"/>
      <c r="IH82" s="33"/>
    </row>
    <row r="83" spans="1:242" ht="15" customHeight="1">
      <c r="A83" s="65" t="s">
        <v>507</v>
      </c>
      <c r="B83" s="38" t="s">
        <v>508</v>
      </c>
      <c r="C83" s="38" t="s">
        <v>206</v>
      </c>
      <c r="D83" s="38" t="s">
        <v>509</v>
      </c>
      <c r="E83" s="38" t="s">
        <v>510</v>
      </c>
      <c r="F83" s="38" t="s">
        <v>9</v>
      </c>
      <c r="G83" s="38" t="s">
        <v>128</v>
      </c>
      <c r="H83" s="38" t="s">
        <v>312</v>
      </c>
      <c r="I83" s="42" t="s">
        <v>637</v>
      </c>
      <c r="J83" s="38" t="s">
        <v>11</v>
      </c>
      <c r="K83" s="38" t="s">
        <v>513</v>
      </c>
      <c r="L83" s="38" t="s">
        <v>10</v>
      </c>
      <c r="M83" s="38" t="s">
        <v>10</v>
      </c>
      <c r="N83" s="44" t="s">
        <v>10</v>
      </c>
      <c r="O83" s="43">
        <v>98</v>
      </c>
      <c r="P83" s="43">
        <v>38</v>
      </c>
      <c r="Q83" s="44">
        <f t="shared" si="5"/>
        <v>38.775510204081634</v>
      </c>
      <c r="R83" s="42" t="s">
        <v>644</v>
      </c>
      <c r="IA83" s="33"/>
      <c r="IB83" s="33"/>
      <c r="IC83" s="33"/>
      <c r="ID83" s="33"/>
      <c r="IE83" s="33"/>
      <c r="IF83" s="33"/>
      <c r="IG83" s="33"/>
      <c r="IH83" s="33"/>
    </row>
    <row r="84" spans="1:242" ht="15" customHeight="1">
      <c r="A84" s="65" t="s">
        <v>507</v>
      </c>
      <c r="B84" s="38" t="s">
        <v>508</v>
      </c>
      <c r="C84" s="38" t="s">
        <v>206</v>
      </c>
      <c r="D84" s="38" t="s">
        <v>509</v>
      </c>
      <c r="E84" s="38" t="s">
        <v>510</v>
      </c>
      <c r="F84" s="38" t="s">
        <v>9</v>
      </c>
      <c r="G84" s="38" t="s">
        <v>128</v>
      </c>
      <c r="H84" s="38" t="s">
        <v>312</v>
      </c>
      <c r="I84" s="42" t="s">
        <v>637</v>
      </c>
      <c r="J84" s="38" t="s">
        <v>11</v>
      </c>
      <c r="K84" s="38" t="s">
        <v>514</v>
      </c>
      <c r="L84" s="38" t="s">
        <v>10</v>
      </c>
      <c r="M84" s="38" t="s">
        <v>10</v>
      </c>
      <c r="N84" s="44" t="s">
        <v>10</v>
      </c>
      <c r="O84" s="43">
        <v>242</v>
      </c>
      <c r="P84" s="43">
        <v>96</v>
      </c>
      <c r="Q84" s="44">
        <f t="shared" si="5"/>
        <v>39.669421487603309</v>
      </c>
      <c r="R84" s="42" t="s">
        <v>644</v>
      </c>
      <c r="IA84" s="33"/>
      <c r="IB84" s="33"/>
      <c r="IC84" s="33"/>
      <c r="ID84" s="33"/>
      <c r="IE84" s="33"/>
      <c r="IF84" s="33"/>
      <c r="IG84" s="33"/>
      <c r="IH84" s="33"/>
    </row>
    <row r="85" spans="1:242" ht="15" customHeight="1">
      <c r="A85" s="65" t="s">
        <v>507</v>
      </c>
      <c r="B85" s="38" t="s">
        <v>508</v>
      </c>
      <c r="C85" s="38" t="s">
        <v>206</v>
      </c>
      <c r="D85" s="38" t="s">
        <v>509</v>
      </c>
      <c r="E85" s="38" t="s">
        <v>510</v>
      </c>
      <c r="F85" s="38" t="s">
        <v>9</v>
      </c>
      <c r="G85" s="38" t="s">
        <v>128</v>
      </c>
      <c r="H85" s="38" t="s">
        <v>312</v>
      </c>
      <c r="I85" s="42" t="s">
        <v>637</v>
      </c>
      <c r="J85" s="38" t="s">
        <v>11</v>
      </c>
      <c r="K85" s="38" t="s">
        <v>231</v>
      </c>
      <c r="L85" s="38" t="s">
        <v>10</v>
      </c>
      <c r="M85" s="38" t="s">
        <v>10</v>
      </c>
      <c r="N85" s="44" t="s">
        <v>10</v>
      </c>
      <c r="O85" s="43">
        <v>225</v>
      </c>
      <c r="P85" s="43">
        <v>109</v>
      </c>
      <c r="Q85" s="44">
        <f t="shared" si="5"/>
        <v>48.444444444444443</v>
      </c>
      <c r="R85" s="42" t="s">
        <v>644</v>
      </c>
      <c r="IA85" s="33"/>
      <c r="IB85" s="33"/>
      <c r="IC85" s="33"/>
      <c r="ID85" s="33"/>
      <c r="IE85" s="33"/>
      <c r="IF85" s="33"/>
      <c r="IG85" s="33"/>
      <c r="IH85" s="33"/>
    </row>
    <row r="86" spans="1:242" ht="15" customHeight="1">
      <c r="A86" s="65" t="s">
        <v>507</v>
      </c>
      <c r="B86" s="38" t="s">
        <v>508</v>
      </c>
      <c r="C86" s="38" t="s">
        <v>206</v>
      </c>
      <c r="D86" s="38" t="s">
        <v>509</v>
      </c>
      <c r="E86" s="38" t="s">
        <v>510</v>
      </c>
      <c r="F86" s="38" t="s">
        <v>9</v>
      </c>
      <c r="G86" s="38" t="s">
        <v>128</v>
      </c>
      <c r="H86" s="38" t="s">
        <v>312</v>
      </c>
      <c r="I86" s="42" t="s">
        <v>637</v>
      </c>
      <c r="J86" s="38" t="s">
        <v>11</v>
      </c>
      <c r="K86" s="38" t="s">
        <v>515</v>
      </c>
      <c r="L86" s="38" t="s">
        <v>10</v>
      </c>
      <c r="M86" s="38" t="s">
        <v>10</v>
      </c>
      <c r="N86" s="44" t="s">
        <v>10</v>
      </c>
      <c r="O86" s="43">
        <v>86</v>
      </c>
      <c r="P86" s="43">
        <v>59</v>
      </c>
      <c r="Q86" s="44">
        <f t="shared" si="5"/>
        <v>68.604651162790702</v>
      </c>
      <c r="R86" s="42" t="s">
        <v>644</v>
      </c>
      <c r="IA86" s="33"/>
      <c r="IB86" s="33"/>
      <c r="IC86" s="33"/>
      <c r="ID86" s="33"/>
      <c r="IE86" s="33"/>
      <c r="IF86" s="33"/>
      <c r="IG86" s="33"/>
      <c r="IH86" s="33"/>
    </row>
    <row r="87" spans="1:242" ht="15" customHeight="1">
      <c r="A87" s="65" t="s">
        <v>507</v>
      </c>
      <c r="B87" s="38" t="s">
        <v>508</v>
      </c>
      <c r="C87" s="38" t="s">
        <v>206</v>
      </c>
      <c r="D87" s="38" t="s">
        <v>509</v>
      </c>
      <c r="E87" s="38" t="s">
        <v>510</v>
      </c>
      <c r="F87" s="38" t="s">
        <v>9</v>
      </c>
      <c r="G87" s="38" t="s">
        <v>128</v>
      </c>
      <c r="H87" s="38" t="s">
        <v>312</v>
      </c>
      <c r="I87" s="42" t="s">
        <v>637</v>
      </c>
      <c r="J87" s="38" t="s">
        <v>11</v>
      </c>
      <c r="K87" s="38" t="s">
        <v>516</v>
      </c>
      <c r="L87" s="38" t="s">
        <v>10</v>
      </c>
      <c r="M87" s="38" t="s">
        <v>10</v>
      </c>
      <c r="N87" s="44" t="s">
        <v>10</v>
      </c>
      <c r="O87" s="43">
        <v>16</v>
      </c>
      <c r="P87" s="43">
        <v>8</v>
      </c>
      <c r="Q87" s="44">
        <f t="shared" si="5"/>
        <v>50</v>
      </c>
      <c r="R87" s="42" t="s">
        <v>644</v>
      </c>
      <c r="IA87" s="33"/>
      <c r="IB87" s="33"/>
      <c r="IC87" s="33"/>
      <c r="ID87" s="33"/>
      <c r="IE87" s="33"/>
      <c r="IF87" s="33"/>
      <c r="IG87" s="33"/>
      <c r="IH87" s="33"/>
    </row>
    <row r="88" spans="1:242" ht="15" customHeight="1">
      <c r="A88" s="65" t="s">
        <v>517</v>
      </c>
      <c r="B88" s="41">
        <v>2014</v>
      </c>
      <c r="C88" s="38" t="s">
        <v>206</v>
      </c>
      <c r="D88" s="38" t="s">
        <v>518</v>
      </c>
      <c r="E88" s="38" t="s">
        <v>519</v>
      </c>
      <c r="F88" s="38" t="s">
        <v>9</v>
      </c>
      <c r="G88" s="41">
        <v>2012</v>
      </c>
      <c r="H88" s="42" t="s">
        <v>613</v>
      </c>
      <c r="I88" s="38" t="s">
        <v>9</v>
      </c>
      <c r="J88" s="38" t="s">
        <v>11</v>
      </c>
      <c r="K88" s="38" t="s">
        <v>443</v>
      </c>
      <c r="L88" s="38" t="s">
        <v>10</v>
      </c>
      <c r="M88" s="38" t="s">
        <v>10</v>
      </c>
      <c r="N88" s="44" t="s">
        <v>10</v>
      </c>
      <c r="O88" s="43">
        <v>287</v>
      </c>
      <c r="P88" s="43">
        <v>16</v>
      </c>
      <c r="Q88" s="44">
        <v>6</v>
      </c>
      <c r="R88" s="41">
        <v>48</v>
      </c>
      <c r="IA88" s="33"/>
      <c r="IB88" s="33"/>
      <c r="IC88" s="33"/>
      <c r="ID88" s="33"/>
      <c r="IE88" s="33"/>
      <c r="IF88" s="33"/>
      <c r="IG88" s="33"/>
      <c r="IH88" s="33"/>
    </row>
    <row r="89" spans="1:242" ht="15" customHeight="1">
      <c r="A89" s="65" t="s">
        <v>521</v>
      </c>
      <c r="B89" s="41">
        <v>2014</v>
      </c>
      <c r="C89" s="38" t="s">
        <v>206</v>
      </c>
      <c r="D89" s="38" t="s">
        <v>522</v>
      </c>
      <c r="E89" s="38" t="s">
        <v>523</v>
      </c>
      <c r="F89" s="38" t="s">
        <v>9</v>
      </c>
      <c r="G89" s="41">
        <v>2004</v>
      </c>
      <c r="H89" s="38" t="s">
        <v>22</v>
      </c>
      <c r="I89" s="38" t="s">
        <v>524</v>
      </c>
      <c r="J89" s="38" t="s">
        <v>16</v>
      </c>
      <c r="K89" s="38" t="s">
        <v>525</v>
      </c>
      <c r="L89" s="41">
        <v>1124</v>
      </c>
      <c r="M89" s="43">
        <v>1106</v>
      </c>
      <c r="N89" s="44">
        <v>98</v>
      </c>
      <c r="O89" s="43">
        <f>338+786</f>
        <v>1124</v>
      </c>
      <c r="P89" s="43">
        <v>648</v>
      </c>
      <c r="Q89" s="44">
        <v>57.8</v>
      </c>
      <c r="R89" s="41">
        <v>49</v>
      </c>
      <c r="IA89" s="33"/>
      <c r="IB89" s="33"/>
      <c r="IC89" s="33"/>
      <c r="ID89" s="33"/>
      <c r="IE89" s="33"/>
      <c r="IF89" s="33"/>
      <c r="IG89" s="33"/>
      <c r="IH89" s="33"/>
    </row>
    <row r="90" spans="1:242" ht="15" customHeight="1">
      <c r="A90" s="65" t="s">
        <v>521</v>
      </c>
      <c r="B90" s="41">
        <v>2014</v>
      </c>
      <c r="C90" s="38" t="s">
        <v>206</v>
      </c>
      <c r="D90" s="38" t="s">
        <v>522</v>
      </c>
      <c r="E90" s="38" t="s">
        <v>523</v>
      </c>
      <c r="F90" s="38" t="s">
        <v>9</v>
      </c>
      <c r="G90" s="41">
        <v>2004</v>
      </c>
      <c r="H90" s="38" t="s">
        <v>22</v>
      </c>
      <c r="I90" s="38" t="s">
        <v>524</v>
      </c>
      <c r="J90" s="38" t="s">
        <v>16</v>
      </c>
      <c r="K90" s="38" t="s">
        <v>505</v>
      </c>
      <c r="L90" s="38" t="s">
        <v>10</v>
      </c>
      <c r="M90" s="38" t="s">
        <v>10</v>
      </c>
      <c r="N90" s="44" t="s">
        <v>10</v>
      </c>
      <c r="O90" s="43">
        <v>546</v>
      </c>
      <c r="P90" s="43">
        <v>233</v>
      </c>
      <c r="Q90" s="44">
        <v>43</v>
      </c>
      <c r="R90" s="41">
        <v>49</v>
      </c>
      <c r="IA90" s="33"/>
      <c r="IB90" s="33"/>
      <c r="IC90" s="33"/>
      <c r="ID90" s="33"/>
      <c r="IE90" s="33"/>
      <c r="IF90" s="33"/>
      <c r="IG90" s="33"/>
      <c r="IH90" s="33"/>
    </row>
    <row r="91" spans="1:242" ht="15" customHeight="1">
      <c r="A91" s="65" t="s">
        <v>521</v>
      </c>
      <c r="B91" s="41">
        <v>2014</v>
      </c>
      <c r="C91" s="38" t="s">
        <v>206</v>
      </c>
      <c r="D91" s="38" t="s">
        <v>522</v>
      </c>
      <c r="E91" s="38" t="s">
        <v>523</v>
      </c>
      <c r="F91" s="38" t="s">
        <v>9</v>
      </c>
      <c r="G91" s="41">
        <v>2004</v>
      </c>
      <c r="H91" s="38" t="s">
        <v>22</v>
      </c>
      <c r="I91" s="38" t="s">
        <v>524</v>
      </c>
      <c r="J91" s="38" t="s">
        <v>16</v>
      </c>
      <c r="K91" s="38" t="s">
        <v>526</v>
      </c>
      <c r="L91" s="38" t="s">
        <v>10</v>
      </c>
      <c r="M91" s="38" t="s">
        <v>10</v>
      </c>
      <c r="N91" s="44" t="s">
        <v>10</v>
      </c>
      <c r="O91" s="43">
        <v>578</v>
      </c>
      <c r="P91" s="43">
        <v>417</v>
      </c>
      <c r="Q91" s="44">
        <v>72</v>
      </c>
      <c r="R91" s="41">
        <v>49</v>
      </c>
      <c r="IA91" s="33"/>
      <c r="IB91" s="33"/>
      <c r="IC91" s="33"/>
      <c r="ID91" s="33"/>
      <c r="IE91" s="33"/>
      <c r="IF91" s="33"/>
      <c r="IG91" s="33"/>
      <c r="IH91" s="33"/>
    </row>
    <row r="92" spans="1:242" ht="15" customHeight="1">
      <c r="A92" s="65" t="s">
        <v>521</v>
      </c>
      <c r="B92" s="41">
        <v>2014</v>
      </c>
      <c r="C92" s="38" t="s">
        <v>206</v>
      </c>
      <c r="D92" s="38" t="s">
        <v>522</v>
      </c>
      <c r="E92" s="38" t="s">
        <v>523</v>
      </c>
      <c r="F92" s="38" t="s">
        <v>9</v>
      </c>
      <c r="G92" s="41">
        <v>2004</v>
      </c>
      <c r="H92" s="38" t="s">
        <v>22</v>
      </c>
      <c r="I92" s="38" t="s">
        <v>524</v>
      </c>
      <c r="J92" s="38" t="s">
        <v>23</v>
      </c>
      <c r="K92" s="38" t="s">
        <v>525</v>
      </c>
      <c r="L92" s="38" t="s">
        <v>10</v>
      </c>
      <c r="M92" s="38" t="s">
        <v>10</v>
      </c>
      <c r="N92" s="44" t="s">
        <v>10</v>
      </c>
      <c r="O92" s="43">
        <v>338</v>
      </c>
      <c r="P92" s="43">
        <v>147</v>
      </c>
      <c r="Q92" s="44">
        <v>43</v>
      </c>
      <c r="R92" s="41">
        <v>49</v>
      </c>
      <c r="IA92" s="33"/>
      <c r="IB92" s="33"/>
      <c r="IC92" s="33"/>
      <c r="ID92" s="33"/>
      <c r="IE92" s="33"/>
      <c r="IF92" s="33"/>
      <c r="IG92" s="33"/>
      <c r="IH92" s="33"/>
    </row>
    <row r="93" spans="1:242" ht="15" customHeight="1">
      <c r="A93" s="65" t="s">
        <v>521</v>
      </c>
      <c r="B93" s="41">
        <v>2014</v>
      </c>
      <c r="C93" s="38" t="s">
        <v>206</v>
      </c>
      <c r="D93" s="38" t="s">
        <v>522</v>
      </c>
      <c r="E93" s="38" t="s">
        <v>523</v>
      </c>
      <c r="F93" s="38" t="s">
        <v>9</v>
      </c>
      <c r="G93" s="41">
        <v>2004</v>
      </c>
      <c r="H93" s="38" t="s">
        <v>22</v>
      </c>
      <c r="I93" s="38" t="s">
        <v>524</v>
      </c>
      <c r="J93" s="38" t="s">
        <v>11</v>
      </c>
      <c r="K93" s="38" t="s">
        <v>525</v>
      </c>
      <c r="L93" s="38" t="s">
        <v>10</v>
      </c>
      <c r="M93" s="38" t="s">
        <v>10</v>
      </c>
      <c r="N93" s="44" t="s">
        <v>10</v>
      </c>
      <c r="O93" s="43">
        <v>786</v>
      </c>
      <c r="P93" s="43">
        <v>503</v>
      </c>
      <c r="Q93" s="44">
        <v>64</v>
      </c>
      <c r="R93" s="41">
        <v>49</v>
      </c>
      <c r="IA93" s="33"/>
      <c r="IB93" s="33"/>
      <c r="IC93" s="33"/>
      <c r="ID93" s="33"/>
      <c r="IE93" s="33"/>
      <c r="IF93" s="33"/>
      <c r="IG93" s="33"/>
      <c r="IH93" s="33"/>
    </row>
    <row r="94" spans="1:242" ht="15" customHeight="1">
      <c r="A94" s="65" t="s">
        <v>527</v>
      </c>
      <c r="B94" s="41">
        <v>2016</v>
      </c>
      <c r="C94" s="38" t="s">
        <v>206</v>
      </c>
      <c r="D94" s="38" t="s">
        <v>522</v>
      </c>
      <c r="E94" s="38" t="s">
        <v>528</v>
      </c>
      <c r="F94" s="38" t="s">
        <v>9</v>
      </c>
      <c r="G94" s="38" t="s">
        <v>198</v>
      </c>
      <c r="H94" s="38" t="s">
        <v>529</v>
      </c>
      <c r="I94" s="38" t="s">
        <v>530</v>
      </c>
      <c r="J94" s="38" t="s">
        <v>11</v>
      </c>
      <c r="K94" s="38" t="s">
        <v>531</v>
      </c>
      <c r="L94" s="38" t="s">
        <v>10</v>
      </c>
      <c r="M94" s="38" t="s">
        <v>10</v>
      </c>
      <c r="N94" s="44" t="s">
        <v>10</v>
      </c>
      <c r="O94" s="43">
        <v>524</v>
      </c>
      <c r="P94" s="43">
        <v>277</v>
      </c>
      <c r="Q94" s="44">
        <v>52.9</v>
      </c>
      <c r="R94" s="41">
        <v>50</v>
      </c>
      <c r="IA94" s="33"/>
      <c r="IB94" s="33"/>
      <c r="IC94" s="33"/>
      <c r="ID94" s="33"/>
      <c r="IE94" s="33"/>
      <c r="IF94" s="33"/>
      <c r="IG94" s="33"/>
      <c r="IH94" s="33"/>
    </row>
    <row r="95" spans="1:242" ht="15" customHeight="1">
      <c r="A95" s="65" t="s">
        <v>532</v>
      </c>
      <c r="B95" s="41">
        <v>2017</v>
      </c>
      <c r="C95" s="38" t="s">
        <v>206</v>
      </c>
      <c r="D95" s="42" t="s">
        <v>609</v>
      </c>
      <c r="E95" s="38" t="s">
        <v>533</v>
      </c>
      <c r="F95" s="38" t="s">
        <v>9</v>
      </c>
      <c r="G95" s="41">
        <v>2004</v>
      </c>
      <c r="H95" s="38" t="s">
        <v>534</v>
      </c>
      <c r="I95" s="38" t="s">
        <v>141</v>
      </c>
      <c r="J95" s="38" t="s">
        <v>23</v>
      </c>
      <c r="K95" s="38" t="s">
        <v>535</v>
      </c>
      <c r="L95" s="38" t="s">
        <v>10</v>
      </c>
      <c r="M95" s="38" t="s">
        <v>10</v>
      </c>
      <c r="N95" s="44" t="s">
        <v>10</v>
      </c>
      <c r="O95" s="43">
        <v>158</v>
      </c>
      <c r="P95" s="41">
        <v>80</v>
      </c>
      <c r="Q95" s="44">
        <v>51</v>
      </c>
      <c r="R95" s="41">
        <v>51</v>
      </c>
      <c r="IA95" s="33"/>
      <c r="IB95" s="33"/>
      <c r="IC95" s="33"/>
      <c r="ID95" s="33"/>
      <c r="IE95" s="33"/>
      <c r="IF95" s="33"/>
      <c r="IG95" s="33"/>
      <c r="IH95" s="33"/>
    </row>
    <row r="96" spans="1:242" ht="15" customHeight="1">
      <c r="A96" s="65" t="s">
        <v>532</v>
      </c>
      <c r="B96" s="41">
        <v>2017</v>
      </c>
      <c r="C96" s="38" t="s">
        <v>206</v>
      </c>
      <c r="D96" s="42" t="s">
        <v>609</v>
      </c>
      <c r="E96" s="38" t="s">
        <v>533</v>
      </c>
      <c r="F96" s="38" t="s">
        <v>9</v>
      </c>
      <c r="G96" s="41">
        <v>2004</v>
      </c>
      <c r="H96" s="38" t="s">
        <v>534</v>
      </c>
      <c r="I96" s="38" t="s">
        <v>141</v>
      </c>
      <c r="J96" s="38" t="s">
        <v>23</v>
      </c>
      <c r="K96" s="38" t="s">
        <v>251</v>
      </c>
      <c r="L96" s="38" t="s">
        <v>10</v>
      </c>
      <c r="M96" s="38" t="s">
        <v>10</v>
      </c>
      <c r="N96" s="44" t="s">
        <v>10</v>
      </c>
      <c r="O96" s="43">
        <v>25</v>
      </c>
      <c r="P96" s="41">
        <v>12</v>
      </c>
      <c r="Q96" s="44">
        <v>55</v>
      </c>
      <c r="R96" s="41">
        <v>51</v>
      </c>
      <c r="IA96" s="33"/>
      <c r="IB96" s="33"/>
      <c r="IC96" s="33"/>
      <c r="ID96" s="33"/>
      <c r="IE96" s="33"/>
      <c r="IF96" s="33"/>
      <c r="IG96" s="33"/>
      <c r="IH96" s="33"/>
    </row>
    <row r="97" spans="1:242" ht="15" customHeight="1">
      <c r="A97" s="65" t="s">
        <v>532</v>
      </c>
      <c r="B97" s="41">
        <v>2017</v>
      </c>
      <c r="C97" s="38" t="s">
        <v>206</v>
      </c>
      <c r="D97" s="42" t="s">
        <v>609</v>
      </c>
      <c r="E97" s="38" t="s">
        <v>533</v>
      </c>
      <c r="F97" s="38" t="s">
        <v>9</v>
      </c>
      <c r="G97" s="41">
        <v>2004</v>
      </c>
      <c r="H97" s="38" t="s">
        <v>534</v>
      </c>
      <c r="I97" s="38" t="s">
        <v>141</v>
      </c>
      <c r="J97" s="38" t="s">
        <v>23</v>
      </c>
      <c r="K97" s="38" t="s">
        <v>536</v>
      </c>
      <c r="L97" s="38" t="s">
        <v>10</v>
      </c>
      <c r="M97" s="38" t="s">
        <v>10</v>
      </c>
      <c r="N97" s="44" t="s">
        <v>10</v>
      </c>
      <c r="O97" s="43">
        <v>41</v>
      </c>
      <c r="P97" s="41">
        <v>16</v>
      </c>
      <c r="Q97" s="44">
        <v>39</v>
      </c>
      <c r="R97" s="41">
        <v>51</v>
      </c>
      <c r="IA97" s="33"/>
      <c r="IB97" s="33"/>
      <c r="IC97" s="33"/>
      <c r="ID97" s="33"/>
      <c r="IE97" s="33"/>
      <c r="IF97" s="33"/>
      <c r="IG97" s="33"/>
      <c r="IH97" s="33"/>
    </row>
    <row r="98" spans="1:242" ht="15" customHeight="1">
      <c r="A98" s="65" t="s">
        <v>532</v>
      </c>
      <c r="B98" s="41">
        <v>2017</v>
      </c>
      <c r="C98" s="38" t="s">
        <v>206</v>
      </c>
      <c r="D98" s="42" t="s">
        <v>609</v>
      </c>
      <c r="E98" s="38" t="s">
        <v>533</v>
      </c>
      <c r="F98" s="38" t="s">
        <v>9</v>
      </c>
      <c r="G98" s="41">
        <v>2004</v>
      </c>
      <c r="H98" s="38" t="s">
        <v>534</v>
      </c>
      <c r="I98" s="38" t="s">
        <v>141</v>
      </c>
      <c r="J98" s="38" t="s">
        <v>23</v>
      </c>
      <c r="K98" s="38" t="s">
        <v>537</v>
      </c>
      <c r="L98" s="38" t="s">
        <v>10</v>
      </c>
      <c r="M98" s="38" t="s">
        <v>10</v>
      </c>
      <c r="N98" s="44" t="s">
        <v>10</v>
      </c>
      <c r="O98" s="43">
        <v>71</v>
      </c>
      <c r="P98" s="41">
        <v>36</v>
      </c>
      <c r="Q98" s="44">
        <v>52</v>
      </c>
      <c r="R98" s="41">
        <v>51</v>
      </c>
      <c r="IA98" s="33"/>
      <c r="IB98" s="33"/>
      <c r="IC98" s="33"/>
      <c r="ID98" s="33"/>
      <c r="IE98" s="33"/>
      <c r="IF98" s="33"/>
      <c r="IG98" s="33"/>
      <c r="IH98" s="33"/>
    </row>
    <row r="99" spans="1:242" ht="15" customHeight="1">
      <c r="A99" s="65" t="s">
        <v>532</v>
      </c>
      <c r="B99" s="41">
        <v>2017</v>
      </c>
      <c r="C99" s="38" t="s">
        <v>206</v>
      </c>
      <c r="D99" s="42" t="s">
        <v>609</v>
      </c>
      <c r="E99" s="38" t="s">
        <v>533</v>
      </c>
      <c r="F99" s="38" t="s">
        <v>9</v>
      </c>
      <c r="G99" s="41">
        <v>2004</v>
      </c>
      <c r="H99" s="38" t="s">
        <v>534</v>
      </c>
      <c r="I99" s="38" t="s">
        <v>141</v>
      </c>
      <c r="J99" s="38" t="s">
        <v>23</v>
      </c>
      <c r="K99" s="38" t="s">
        <v>538</v>
      </c>
      <c r="L99" s="38" t="s">
        <v>10</v>
      </c>
      <c r="M99" s="38" t="s">
        <v>10</v>
      </c>
      <c r="N99" s="44" t="s">
        <v>10</v>
      </c>
      <c r="O99" s="43">
        <v>21</v>
      </c>
      <c r="P99" s="41">
        <v>16</v>
      </c>
      <c r="Q99" s="44">
        <v>80</v>
      </c>
      <c r="R99" s="41">
        <v>51</v>
      </c>
      <c r="IA99" s="33"/>
      <c r="IB99" s="33"/>
      <c r="IC99" s="33"/>
      <c r="ID99" s="33"/>
      <c r="IE99" s="33"/>
      <c r="IF99" s="33"/>
      <c r="IG99" s="33"/>
      <c r="IH99" s="33"/>
    </row>
    <row r="100" spans="1:242" ht="15" customHeight="1">
      <c r="A100" s="65" t="s">
        <v>539</v>
      </c>
      <c r="B100" s="41">
        <v>2018</v>
      </c>
      <c r="C100" s="38" t="s">
        <v>206</v>
      </c>
      <c r="D100" s="38" t="s">
        <v>509</v>
      </c>
      <c r="E100" s="38" t="s">
        <v>540</v>
      </c>
      <c r="F100" s="38" t="s">
        <v>9</v>
      </c>
      <c r="G100" s="38" t="s">
        <v>541</v>
      </c>
      <c r="H100" s="38" t="s">
        <v>542</v>
      </c>
      <c r="I100" s="38" t="s">
        <v>543</v>
      </c>
      <c r="J100" s="38" t="s">
        <v>11</v>
      </c>
      <c r="K100" s="38" t="s">
        <v>544</v>
      </c>
      <c r="L100" s="38" t="s">
        <v>10</v>
      </c>
      <c r="M100" s="38" t="s">
        <v>10</v>
      </c>
      <c r="N100" s="44" t="s">
        <v>10</v>
      </c>
      <c r="O100" s="43">
        <v>98</v>
      </c>
      <c r="P100" s="41">
        <v>48</v>
      </c>
      <c r="Q100" s="44">
        <v>49</v>
      </c>
      <c r="R100" s="41">
        <v>52</v>
      </c>
      <c r="IA100" s="33"/>
      <c r="IB100" s="33"/>
      <c r="IC100" s="33"/>
      <c r="ID100" s="33"/>
      <c r="IE100" s="33"/>
      <c r="IF100" s="33"/>
      <c r="IG100" s="33"/>
      <c r="IH100" s="33"/>
    </row>
    <row r="101" spans="1:242" ht="15" customHeight="1">
      <c r="A101" s="65" t="s">
        <v>545</v>
      </c>
      <c r="B101" s="41">
        <v>2015</v>
      </c>
      <c r="C101" s="38" t="s">
        <v>206</v>
      </c>
      <c r="D101" s="38" t="s">
        <v>518</v>
      </c>
      <c r="E101" s="38" t="s">
        <v>546</v>
      </c>
      <c r="F101" s="38" t="s">
        <v>9</v>
      </c>
      <c r="G101" s="38" t="s">
        <v>9</v>
      </c>
      <c r="H101" s="38" t="s">
        <v>547</v>
      </c>
      <c r="I101" s="38" t="s">
        <v>548</v>
      </c>
      <c r="J101" s="38" t="s">
        <v>11</v>
      </c>
      <c r="K101" s="38" t="s">
        <v>549</v>
      </c>
      <c r="L101" s="38" t="s">
        <v>10</v>
      </c>
      <c r="M101" s="38" t="s">
        <v>10</v>
      </c>
      <c r="N101" s="44" t="s">
        <v>10</v>
      </c>
      <c r="O101" s="43">
        <f>2226+279</f>
        <v>2505</v>
      </c>
      <c r="P101" s="43">
        <v>279</v>
      </c>
      <c r="Q101" s="44">
        <f>P101*100/O101</f>
        <v>11.137724550898204</v>
      </c>
      <c r="R101" s="41">
        <v>54</v>
      </c>
      <c r="IA101" s="33"/>
      <c r="IB101" s="33"/>
      <c r="IC101" s="33"/>
      <c r="ID101" s="33"/>
      <c r="IE101" s="33"/>
      <c r="IF101" s="33"/>
      <c r="IG101" s="33"/>
      <c r="IH101" s="33"/>
    </row>
    <row r="102" spans="1:242" ht="15" customHeight="1">
      <c r="A102" s="65" t="s">
        <v>550</v>
      </c>
      <c r="B102" s="41">
        <v>2014</v>
      </c>
      <c r="C102" s="38" t="s">
        <v>206</v>
      </c>
      <c r="D102" s="38" t="s">
        <v>411</v>
      </c>
      <c r="E102" s="38" t="s">
        <v>551</v>
      </c>
      <c r="F102" s="38" t="s">
        <v>9</v>
      </c>
      <c r="G102" s="38" t="s">
        <v>9</v>
      </c>
      <c r="H102" s="38" t="s">
        <v>552</v>
      </c>
      <c r="I102" s="38" t="s">
        <v>553</v>
      </c>
      <c r="J102" s="38" t="s">
        <v>11</v>
      </c>
      <c r="K102" s="38" t="s">
        <v>554</v>
      </c>
      <c r="L102" s="38" t="s">
        <v>555</v>
      </c>
      <c r="M102" s="38" t="s">
        <v>556</v>
      </c>
      <c r="N102" s="44">
        <f>(M102*100)/L102</f>
        <v>98.205128205128204</v>
      </c>
      <c r="O102" s="43">
        <v>390</v>
      </c>
      <c r="P102" s="43">
        <v>229</v>
      </c>
      <c r="Q102" s="44">
        <v>58.7</v>
      </c>
      <c r="R102" s="41">
        <v>55</v>
      </c>
      <c r="IA102" s="33"/>
      <c r="IB102" s="33"/>
      <c r="IC102" s="33"/>
      <c r="ID102" s="33"/>
      <c r="IE102" s="33"/>
      <c r="IF102" s="33"/>
      <c r="IG102" s="33"/>
      <c r="IH102" s="33"/>
    </row>
    <row r="103" spans="1:242" ht="15" customHeight="1">
      <c r="A103" s="65" t="s">
        <v>557</v>
      </c>
      <c r="B103" s="38" t="s">
        <v>558</v>
      </c>
      <c r="C103" s="38" t="s">
        <v>206</v>
      </c>
      <c r="D103" s="38" t="s">
        <v>411</v>
      </c>
      <c r="E103" s="38" t="s">
        <v>559</v>
      </c>
      <c r="F103" s="38" t="s">
        <v>487</v>
      </c>
      <c r="G103" s="38" t="s">
        <v>128</v>
      </c>
      <c r="H103" s="42" t="s">
        <v>560</v>
      </c>
      <c r="I103" s="38" t="s">
        <v>561</v>
      </c>
      <c r="J103" s="38" t="s">
        <v>11</v>
      </c>
      <c r="K103" s="38" t="s">
        <v>562</v>
      </c>
      <c r="L103" s="38" t="s">
        <v>10</v>
      </c>
      <c r="M103" s="38" t="s">
        <v>10</v>
      </c>
      <c r="N103" s="44" t="s">
        <v>10</v>
      </c>
      <c r="O103" s="43">
        <v>2529</v>
      </c>
      <c r="P103" s="43">
        <v>120</v>
      </c>
      <c r="Q103" s="44">
        <f>P103*100/O103</f>
        <v>4.7449584816132857</v>
      </c>
      <c r="R103" s="77" t="s">
        <v>645</v>
      </c>
      <c r="IA103" s="33"/>
      <c r="IB103" s="33"/>
      <c r="IC103" s="33"/>
      <c r="ID103" s="33"/>
      <c r="IE103" s="33"/>
      <c r="IF103" s="33"/>
      <c r="IG103" s="33"/>
      <c r="IH103" s="33"/>
    </row>
    <row r="104" spans="1:242" ht="15" customHeight="1">
      <c r="A104" s="65" t="s">
        <v>563</v>
      </c>
      <c r="B104" s="41">
        <v>2013</v>
      </c>
      <c r="C104" s="38" t="s">
        <v>206</v>
      </c>
      <c r="D104" s="38" t="s">
        <v>484</v>
      </c>
      <c r="E104" s="38" t="s">
        <v>564</v>
      </c>
      <c r="F104" s="38" t="s">
        <v>565</v>
      </c>
      <c r="G104" s="41">
        <v>2010</v>
      </c>
      <c r="H104" s="38" t="s">
        <v>566</v>
      </c>
      <c r="I104" s="38" t="s">
        <v>567</v>
      </c>
      <c r="J104" s="38" t="s">
        <v>11</v>
      </c>
      <c r="K104" s="38" t="s">
        <v>568</v>
      </c>
      <c r="L104" s="38" t="s">
        <v>10</v>
      </c>
      <c r="M104" s="38" t="s">
        <v>10</v>
      </c>
      <c r="N104" s="44" t="s">
        <v>10</v>
      </c>
      <c r="O104" s="43">
        <v>934</v>
      </c>
      <c r="P104" s="43">
        <v>145</v>
      </c>
      <c r="Q104" s="44">
        <f>P104*100/O104</f>
        <v>15.524625267665954</v>
      </c>
      <c r="R104" s="41">
        <v>59</v>
      </c>
      <c r="IA104" s="33"/>
      <c r="IB104" s="33"/>
      <c r="IC104" s="33"/>
      <c r="ID104" s="33"/>
      <c r="IE104" s="33"/>
      <c r="IF104" s="33"/>
      <c r="IG104" s="33"/>
      <c r="IH104" s="33"/>
    </row>
    <row r="105" spans="1:242" ht="15" customHeight="1">
      <c r="A105" s="65" t="s">
        <v>563</v>
      </c>
      <c r="B105" s="41">
        <v>2013</v>
      </c>
      <c r="C105" s="38" t="s">
        <v>206</v>
      </c>
      <c r="D105" s="38" t="s">
        <v>484</v>
      </c>
      <c r="E105" s="38" t="s">
        <v>564</v>
      </c>
      <c r="F105" s="38" t="s">
        <v>565</v>
      </c>
      <c r="G105" s="41">
        <v>2010</v>
      </c>
      <c r="H105" s="38" t="s">
        <v>566</v>
      </c>
      <c r="I105" s="38" t="s">
        <v>567</v>
      </c>
      <c r="J105" s="38" t="s">
        <v>11</v>
      </c>
      <c r="K105" s="42" t="s">
        <v>431</v>
      </c>
      <c r="L105" s="38" t="s">
        <v>10</v>
      </c>
      <c r="M105" s="38" t="s">
        <v>10</v>
      </c>
      <c r="N105" s="44" t="s">
        <v>10</v>
      </c>
      <c r="O105" s="43">
        <v>287</v>
      </c>
      <c r="P105" s="43">
        <f>Q105*O105/100</f>
        <v>32.143999999999998</v>
      </c>
      <c r="Q105" s="44">
        <v>11.2</v>
      </c>
      <c r="R105" s="41">
        <v>59</v>
      </c>
      <c r="IA105" s="33"/>
      <c r="IB105" s="33"/>
      <c r="IC105" s="33"/>
      <c r="ID105" s="33"/>
      <c r="IE105" s="33"/>
      <c r="IF105" s="33"/>
      <c r="IG105" s="33"/>
      <c r="IH105" s="33"/>
    </row>
    <row r="106" spans="1:242" ht="15" customHeight="1">
      <c r="A106" s="65" t="s">
        <v>563</v>
      </c>
      <c r="B106" s="41">
        <v>2013</v>
      </c>
      <c r="C106" s="38" t="s">
        <v>206</v>
      </c>
      <c r="D106" s="38" t="s">
        <v>484</v>
      </c>
      <c r="E106" s="38" t="s">
        <v>564</v>
      </c>
      <c r="F106" s="38" t="s">
        <v>565</v>
      </c>
      <c r="G106" s="41">
        <v>2010</v>
      </c>
      <c r="H106" s="38" t="s">
        <v>566</v>
      </c>
      <c r="I106" s="38" t="s">
        <v>567</v>
      </c>
      <c r="J106" s="38" t="s">
        <v>11</v>
      </c>
      <c r="K106" s="42" t="s">
        <v>220</v>
      </c>
      <c r="L106" s="38" t="s">
        <v>10</v>
      </c>
      <c r="M106" s="38" t="s">
        <v>10</v>
      </c>
      <c r="N106" s="44" t="s">
        <v>10</v>
      </c>
      <c r="O106" s="43">
        <v>426</v>
      </c>
      <c r="P106" s="43">
        <f>Q106*O106/100</f>
        <v>66.882000000000005</v>
      </c>
      <c r="Q106" s="44">
        <v>15.7</v>
      </c>
      <c r="R106" s="41">
        <v>59</v>
      </c>
      <c r="IA106" s="33"/>
      <c r="IB106" s="33"/>
      <c r="IC106" s="33"/>
      <c r="ID106" s="33"/>
      <c r="IE106" s="33"/>
      <c r="IF106" s="33"/>
      <c r="IG106" s="33"/>
      <c r="IH106" s="33"/>
    </row>
    <row r="107" spans="1:242" ht="15" customHeight="1">
      <c r="A107" s="65" t="s">
        <v>563</v>
      </c>
      <c r="B107" s="41">
        <v>2013</v>
      </c>
      <c r="C107" s="38" t="s">
        <v>206</v>
      </c>
      <c r="D107" s="38" t="s">
        <v>484</v>
      </c>
      <c r="E107" s="38" t="s">
        <v>564</v>
      </c>
      <c r="F107" s="38" t="s">
        <v>565</v>
      </c>
      <c r="G107" s="41">
        <v>2010</v>
      </c>
      <c r="H107" s="38" t="s">
        <v>566</v>
      </c>
      <c r="I107" s="38" t="s">
        <v>567</v>
      </c>
      <c r="J107" s="38" t="s">
        <v>11</v>
      </c>
      <c r="K107" s="42" t="s">
        <v>430</v>
      </c>
      <c r="L107" s="38" t="s">
        <v>10</v>
      </c>
      <c r="M107" s="38" t="s">
        <v>10</v>
      </c>
      <c r="N107" s="44" t="s">
        <v>10</v>
      </c>
      <c r="O107" s="43">
        <v>341</v>
      </c>
      <c r="P107" s="43">
        <f>Q107*O107/100</f>
        <v>60.698</v>
      </c>
      <c r="Q107" s="44">
        <v>17.8</v>
      </c>
      <c r="R107" s="41">
        <v>59</v>
      </c>
      <c r="IA107" s="33"/>
      <c r="IB107" s="33"/>
      <c r="IC107" s="33"/>
      <c r="ID107" s="33"/>
      <c r="IE107" s="33"/>
      <c r="IF107" s="33"/>
      <c r="IG107" s="33"/>
      <c r="IH107" s="33"/>
    </row>
    <row r="108" spans="1:242" ht="15" customHeight="1">
      <c r="A108" s="65" t="s">
        <v>563</v>
      </c>
      <c r="B108" s="41">
        <v>2013</v>
      </c>
      <c r="C108" s="38" t="s">
        <v>206</v>
      </c>
      <c r="D108" s="38" t="s">
        <v>484</v>
      </c>
      <c r="E108" s="38" t="s">
        <v>564</v>
      </c>
      <c r="F108" s="38" t="s">
        <v>565</v>
      </c>
      <c r="G108" s="41">
        <v>2010</v>
      </c>
      <c r="H108" s="38" t="s">
        <v>566</v>
      </c>
      <c r="I108" s="38" t="s">
        <v>567</v>
      </c>
      <c r="J108" s="38" t="s">
        <v>11</v>
      </c>
      <c r="K108" s="42" t="s">
        <v>421</v>
      </c>
      <c r="L108" s="38" t="s">
        <v>10</v>
      </c>
      <c r="M108" s="38" t="s">
        <v>10</v>
      </c>
      <c r="N108" s="44" t="s">
        <v>10</v>
      </c>
      <c r="O108" s="43">
        <v>141</v>
      </c>
      <c r="P108" s="43">
        <f>Q108*O108/100</f>
        <v>26.226000000000003</v>
      </c>
      <c r="Q108" s="44">
        <v>18.600000000000001</v>
      </c>
      <c r="R108" s="41">
        <v>59</v>
      </c>
      <c r="IA108" s="33"/>
      <c r="IB108" s="33"/>
      <c r="IC108" s="33"/>
      <c r="ID108" s="33"/>
      <c r="IE108" s="33"/>
      <c r="IF108" s="33"/>
      <c r="IG108" s="33"/>
      <c r="IH108" s="33"/>
    </row>
    <row r="109" spans="1:242" ht="15" customHeight="1">
      <c r="A109" s="65" t="s">
        <v>569</v>
      </c>
      <c r="B109" s="41">
        <v>2015</v>
      </c>
      <c r="C109" s="38" t="s">
        <v>206</v>
      </c>
      <c r="D109" s="38" t="s">
        <v>451</v>
      </c>
      <c r="E109" s="38" t="s">
        <v>570</v>
      </c>
      <c r="F109" s="38" t="s">
        <v>9</v>
      </c>
      <c r="G109" s="38" t="s">
        <v>128</v>
      </c>
      <c r="H109" s="38" t="s">
        <v>571</v>
      </c>
      <c r="I109" s="38" t="s">
        <v>572</v>
      </c>
      <c r="J109" s="38" t="s">
        <v>16</v>
      </c>
      <c r="K109" s="38" t="s">
        <v>573</v>
      </c>
      <c r="L109" s="38" t="s">
        <v>10</v>
      </c>
      <c r="M109" s="38" t="s">
        <v>10</v>
      </c>
      <c r="N109" s="44" t="s">
        <v>10</v>
      </c>
      <c r="O109" s="43">
        <f>79+96</f>
        <v>175</v>
      </c>
      <c r="P109" s="43">
        <f>28+5</f>
        <v>33</v>
      </c>
      <c r="Q109" s="44">
        <f>P109*100/O109</f>
        <v>18.857142857142858</v>
      </c>
      <c r="R109" s="41">
        <v>60</v>
      </c>
      <c r="IA109" s="33"/>
      <c r="IB109" s="33"/>
      <c r="IC109" s="33"/>
      <c r="ID109" s="33"/>
      <c r="IE109" s="33"/>
      <c r="IF109" s="33"/>
      <c r="IG109" s="33"/>
      <c r="IH109" s="33"/>
    </row>
    <row r="110" spans="1:242" ht="15" customHeight="1">
      <c r="A110" s="65" t="s">
        <v>569</v>
      </c>
      <c r="B110" s="41">
        <v>2015</v>
      </c>
      <c r="C110" s="38" t="s">
        <v>206</v>
      </c>
      <c r="D110" s="38" t="s">
        <v>451</v>
      </c>
      <c r="E110" s="38" t="s">
        <v>570</v>
      </c>
      <c r="F110" s="38" t="s">
        <v>9</v>
      </c>
      <c r="G110" s="38" t="s">
        <v>128</v>
      </c>
      <c r="H110" s="38" t="s">
        <v>571</v>
      </c>
      <c r="I110" s="38" t="s">
        <v>572</v>
      </c>
      <c r="J110" s="38" t="s">
        <v>23</v>
      </c>
      <c r="K110" s="38" t="s">
        <v>574</v>
      </c>
      <c r="L110" s="38" t="s">
        <v>10</v>
      </c>
      <c r="M110" s="38" t="s">
        <v>10</v>
      </c>
      <c r="N110" s="44" t="s">
        <v>10</v>
      </c>
      <c r="O110" s="43">
        <v>96</v>
      </c>
      <c r="P110" s="43">
        <v>5</v>
      </c>
      <c r="Q110" s="44">
        <f>P110*100/O110</f>
        <v>5.208333333333333</v>
      </c>
      <c r="R110" s="41">
        <v>60</v>
      </c>
      <c r="IA110" s="33"/>
      <c r="IB110" s="33"/>
      <c r="IC110" s="33"/>
      <c r="ID110" s="33"/>
      <c r="IE110" s="33"/>
      <c r="IF110" s="33"/>
      <c r="IG110" s="33"/>
      <c r="IH110" s="33"/>
    </row>
    <row r="111" spans="1:242" ht="15" customHeight="1">
      <c r="A111" s="65" t="s">
        <v>569</v>
      </c>
      <c r="B111" s="41">
        <v>2015</v>
      </c>
      <c r="C111" s="38" t="s">
        <v>206</v>
      </c>
      <c r="D111" s="38" t="s">
        <v>451</v>
      </c>
      <c r="E111" s="38" t="s">
        <v>570</v>
      </c>
      <c r="F111" s="38" t="s">
        <v>9</v>
      </c>
      <c r="G111" s="38" t="s">
        <v>128</v>
      </c>
      <c r="H111" s="38" t="s">
        <v>571</v>
      </c>
      <c r="I111" s="38" t="s">
        <v>572</v>
      </c>
      <c r="J111" s="38" t="s">
        <v>11</v>
      </c>
      <c r="K111" s="38" t="s">
        <v>575</v>
      </c>
      <c r="L111" s="38" t="s">
        <v>10</v>
      </c>
      <c r="M111" s="38" t="s">
        <v>10</v>
      </c>
      <c r="N111" s="44" t="s">
        <v>10</v>
      </c>
      <c r="O111" s="43">
        <v>79</v>
      </c>
      <c r="P111" s="43">
        <v>28</v>
      </c>
      <c r="Q111" s="44">
        <f>P111*100/O111</f>
        <v>35.443037974683541</v>
      </c>
      <c r="R111" s="41">
        <v>60</v>
      </c>
      <c r="IA111" s="33"/>
      <c r="IB111" s="33"/>
      <c r="IC111" s="33"/>
      <c r="ID111" s="33"/>
      <c r="IE111" s="33"/>
      <c r="IF111" s="33"/>
      <c r="IG111" s="33"/>
      <c r="IH111" s="33"/>
    </row>
    <row r="112" spans="1:242" ht="15" customHeight="1">
      <c r="A112" s="65" t="s">
        <v>576</v>
      </c>
      <c r="B112" s="41">
        <v>2018</v>
      </c>
      <c r="C112" s="38" t="s">
        <v>206</v>
      </c>
      <c r="D112" s="38" t="s">
        <v>411</v>
      </c>
      <c r="E112" s="38" t="s">
        <v>411</v>
      </c>
      <c r="F112" s="38" t="s">
        <v>9</v>
      </c>
      <c r="G112" s="41">
        <v>2003</v>
      </c>
      <c r="H112" s="38" t="s">
        <v>577</v>
      </c>
      <c r="I112" s="38" t="s">
        <v>10</v>
      </c>
      <c r="J112" s="38" t="s">
        <v>11</v>
      </c>
      <c r="K112" s="38" t="s">
        <v>578</v>
      </c>
      <c r="L112" s="38" t="s">
        <v>10</v>
      </c>
      <c r="M112" s="38" t="s">
        <v>10</v>
      </c>
      <c r="N112" s="44" t="s">
        <v>10</v>
      </c>
      <c r="O112" s="43">
        <v>388</v>
      </c>
      <c r="P112" s="43"/>
      <c r="Q112" s="44">
        <v>36.299999999999997</v>
      </c>
      <c r="R112" s="41">
        <v>61</v>
      </c>
      <c r="IA112" s="33"/>
      <c r="IB112" s="33"/>
      <c r="IC112" s="33"/>
      <c r="ID112" s="33"/>
      <c r="IE112" s="33"/>
      <c r="IF112" s="33"/>
      <c r="IG112" s="33"/>
      <c r="IH112" s="33"/>
    </row>
    <row r="113" spans="1:242" ht="15" customHeight="1">
      <c r="A113" s="65" t="s">
        <v>576</v>
      </c>
      <c r="B113" s="41">
        <v>2018</v>
      </c>
      <c r="C113" s="38" t="s">
        <v>206</v>
      </c>
      <c r="D113" s="38" t="s">
        <v>411</v>
      </c>
      <c r="E113" s="38" t="s">
        <v>411</v>
      </c>
      <c r="F113" s="38" t="s">
        <v>9</v>
      </c>
      <c r="G113" s="41">
        <v>2003</v>
      </c>
      <c r="H113" s="38" t="s">
        <v>577</v>
      </c>
      <c r="I113" s="38" t="s">
        <v>10</v>
      </c>
      <c r="J113" s="38" t="s">
        <v>11</v>
      </c>
      <c r="K113" s="38" t="s">
        <v>578</v>
      </c>
      <c r="L113" s="38" t="s">
        <v>10</v>
      </c>
      <c r="M113" s="38" t="s">
        <v>10</v>
      </c>
      <c r="N113" s="44" t="s">
        <v>10</v>
      </c>
      <c r="O113" s="43">
        <v>108</v>
      </c>
      <c r="P113" s="43"/>
      <c r="Q113" s="44">
        <v>53.7</v>
      </c>
      <c r="R113" s="41">
        <v>61</v>
      </c>
      <c r="IA113" s="33"/>
      <c r="IB113" s="33"/>
      <c r="IC113" s="33"/>
      <c r="ID113" s="33"/>
      <c r="IE113" s="33"/>
      <c r="IF113" s="33"/>
      <c r="IG113" s="33"/>
      <c r="IH113" s="33"/>
    </row>
    <row r="114" spans="1:242" ht="15" customHeight="1">
      <c r="A114" s="65" t="s">
        <v>576</v>
      </c>
      <c r="B114" s="41">
        <v>2018</v>
      </c>
      <c r="C114" s="38" t="s">
        <v>206</v>
      </c>
      <c r="D114" s="38" t="s">
        <v>411</v>
      </c>
      <c r="E114" s="38" t="s">
        <v>411</v>
      </c>
      <c r="F114" s="38" t="s">
        <v>9</v>
      </c>
      <c r="G114" s="41">
        <v>2010</v>
      </c>
      <c r="H114" s="42" t="s">
        <v>579</v>
      </c>
      <c r="I114" s="38" t="s">
        <v>10</v>
      </c>
      <c r="J114" s="38" t="s">
        <v>11</v>
      </c>
      <c r="K114" s="38" t="s">
        <v>578</v>
      </c>
      <c r="L114" s="38" t="s">
        <v>10</v>
      </c>
      <c r="M114" s="38" t="s">
        <v>10</v>
      </c>
      <c r="N114" s="44" t="s">
        <v>10</v>
      </c>
      <c r="O114" s="43">
        <v>238</v>
      </c>
      <c r="P114" s="43"/>
      <c r="Q114" s="44">
        <v>31.9</v>
      </c>
      <c r="R114" s="41">
        <v>61</v>
      </c>
      <c r="IA114" s="33"/>
      <c r="IB114" s="33"/>
      <c r="IC114" s="33"/>
      <c r="ID114" s="33"/>
      <c r="IE114" s="33"/>
      <c r="IF114" s="33"/>
      <c r="IG114" s="33"/>
      <c r="IH114" s="33"/>
    </row>
    <row r="115" spans="1:242" ht="15" customHeight="1">
      <c r="A115" s="65" t="s">
        <v>576</v>
      </c>
      <c r="B115" s="41">
        <v>2018</v>
      </c>
      <c r="C115" s="38" t="s">
        <v>206</v>
      </c>
      <c r="D115" s="38" t="s">
        <v>580</v>
      </c>
      <c r="E115" s="38" t="s">
        <v>9</v>
      </c>
      <c r="F115" s="38" t="s">
        <v>9</v>
      </c>
      <c r="G115" s="41">
        <v>2007</v>
      </c>
      <c r="H115" s="42" t="s">
        <v>579</v>
      </c>
      <c r="I115" s="38" t="s">
        <v>10</v>
      </c>
      <c r="J115" s="38" t="s">
        <v>11</v>
      </c>
      <c r="K115" s="38" t="s">
        <v>578</v>
      </c>
      <c r="L115" s="38" t="s">
        <v>10</v>
      </c>
      <c r="M115" s="38" t="s">
        <v>10</v>
      </c>
      <c r="N115" s="44" t="s">
        <v>10</v>
      </c>
      <c r="O115" s="43">
        <v>409</v>
      </c>
      <c r="P115" s="43"/>
      <c r="Q115" s="44">
        <v>50.9</v>
      </c>
      <c r="R115" s="41">
        <v>61</v>
      </c>
      <c r="IA115" s="33"/>
      <c r="IB115" s="33"/>
      <c r="IC115" s="33"/>
      <c r="ID115" s="33"/>
      <c r="IE115" s="33"/>
      <c r="IF115" s="33"/>
      <c r="IG115" s="33"/>
      <c r="IH115" s="33"/>
    </row>
    <row r="116" spans="1:242" ht="15" customHeight="1">
      <c r="A116" s="65" t="s">
        <v>576</v>
      </c>
      <c r="B116" s="41">
        <v>2018</v>
      </c>
      <c r="C116" s="38" t="s">
        <v>206</v>
      </c>
      <c r="D116" s="38" t="s">
        <v>411</v>
      </c>
      <c r="E116" s="38" t="s">
        <v>411</v>
      </c>
      <c r="F116" s="38" t="s">
        <v>9</v>
      </c>
      <c r="G116" s="41">
        <v>2003</v>
      </c>
      <c r="H116" s="38" t="s">
        <v>577</v>
      </c>
      <c r="I116" s="38" t="s">
        <v>10</v>
      </c>
      <c r="J116" s="38" t="s">
        <v>11</v>
      </c>
      <c r="K116" s="38" t="s">
        <v>581</v>
      </c>
      <c r="L116" s="38" t="s">
        <v>10</v>
      </c>
      <c r="M116" s="38" t="s">
        <v>10</v>
      </c>
      <c r="N116" s="44" t="s">
        <v>10</v>
      </c>
      <c r="O116" s="43">
        <v>290</v>
      </c>
      <c r="P116" s="43"/>
      <c r="Q116" s="44">
        <v>75.2</v>
      </c>
      <c r="R116" s="41">
        <v>61</v>
      </c>
      <c r="IA116" s="33"/>
      <c r="IB116" s="33"/>
      <c r="IC116" s="33"/>
      <c r="ID116" s="33"/>
      <c r="IE116" s="33"/>
      <c r="IF116" s="33"/>
      <c r="IG116" s="33"/>
      <c r="IH116" s="33"/>
    </row>
    <row r="117" spans="1:242" ht="15" customHeight="1">
      <c r="A117" s="65" t="s">
        <v>576</v>
      </c>
      <c r="B117" s="41">
        <v>2018</v>
      </c>
      <c r="C117" s="38" t="s">
        <v>206</v>
      </c>
      <c r="D117" s="38" t="s">
        <v>411</v>
      </c>
      <c r="E117" s="38" t="s">
        <v>411</v>
      </c>
      <c r="F117" s="38" t="s">
        <v>9</v>
      </c>
      <c r="G117" s="41">
        <v>2003</v>
      </c>
      <c r="H117" s="38" t="s">
        <v>577</v>
      </c>
      <c r="I117" s="38" t="s">
        <v>10</v>
      </c>
      <c r="J117" s="38" t="s">
        <v>11</v>
      </c>
      <c r="K117" s="38" t="s">
        <v>581</v>
      </c>
      <c r="L117" s="38" t="s">
        <v>10</v>
      </c>
      <c r="M117" s="38" t="s">
        <v>10</v>
      </c>
      <c r="N117" s="44" t="s">
        <v>10</v>
      </c>
      <c r="O117" s="43">
        <v>139</v>
      </c>
      <c r="P117" s="43"/>
      <c r="Q117" s="44">
        <v>87.1</v>
      </c>
      <c r="R117" s="41">
        <v>61</v>
      </c>
      <c r="IA117" s="33"/>
      <c r="IB117" s="33"/>
      <c r="IC117" s="33"/>
      <c r="ID117" s="33"/>
      <c r="IE117" s="33"/>
      <c r="IF117" s="33"/>
      <c r="IG117" s="33"/>
      <c r="IH117" s="33"/>
    </row>
    <row r="118" spans="1:242" ht="15" customHeight="1">
      <c r="A118" s="65" t="s">
        <v>576</v>
      </c>
      <c r="B118" s="41">
        <v>2018</v>
      </c>
      <c r="C118" s="38" t="s">
        <v>206</v>
      </c>
      <c r="D118" s="38" t="s">
        <v>411</v>
      </c>
      <c r="E118" s="38" t="s">
        <v>411</v>
      </c>
      <c r="F118" s="38" t="s">
        <v>9</v>
      </c>
      <c r="G118" s="41">
        <v>2010</v>
      </c>
      <c r="H118" s="42" t="s">
        <v>579</v>
      </c>
      <c r="I118" s="38" t="s">
        <v>10</v>
      </c>
      <c r="J118" s="38" t="s">
        <v>11</v>
      </c>
      <c r="K118" s="38" t="s">
        <v>581</v>
      </c>
      <c r="L118" s="38" t="s">
        <v>10</v>
      </c>
      <c r="M118" s="38" t="s">
        <v>10</v>
      </c>
      <c r="N118" s="44" t="s">
        <v>10</v>
      </c>
      <c r="O118" s="43">
        <v>101</v>
      </c>
      <c r="P118" s="43"/>
      <c r="Q118" s="44">
        <v>75.2</v>
      </c>
      <c r="R118" s="41">
        <v>61</v>
      </c>
      <c r="IA118" s="33"/>
      <c r="IB118" s="33"/>
      <c r="IC118" s="33"/>
      <c r="ID118" s="33"/>
      <c r="IE118" s="33"/>
      <c r="IF118" s="33"/>
      <c r="IG118" s="33"/>
      <c r="IH118" s="33"/>
    </row>
    <row r="119" spans="1:242" ht="15" customHeight="1">
      <c r="A119" s="65" t="s">
        <v>576</v>
      </c>
      <c r="B119" s="41">
        <v>2018</v>
      </c>
      <c r="C119" s="38" t="s">
        <v>206</v>
      </c>
      <c r="D119" s="38" t="s">
        <v>580</v>
      </c>
      <c r="E119" s="38" t="s">
        <v>9</v>
      </c>
      <c r="F119" s="38" t="s">
        <v>9</v>
      </c>
      <c r="G119" s="41">
        <v>2007</v>
      </c>
      <c r="H119" s="42" t="s">
        <v>579</v>
      </c>
      <c r="I119" s="38" t="s">
        <v>10</v>
      </c>
      <c r="J119" s="38" t="s">
        <v>11</v>
      </c>
      <c r="K119" s="38" t="s">
        <v>581</v>
      </c>
      <c r="L119" s="38" t="s">
        <v>10</v>
      </c>
      <c r="M119" s="38" t="s">
        <v>10</v>
      </c>
      <c r="N119" s="44" t="s">
        <v>10</v>
      </c>
      <c r="O119" s="43">
        <v>741</v>
      </c>
      <c r="P119" s="43"/>
      <c r="Q119" s="44">
        <v>68.8</v>
      </c>
      <c r="R119" s="41">
        <v>61</v>
      </c>
      <c r="IA119" s="33"/>
      <c r="IB119" s="33"/>
      <c r="IC119" s="33"/>
      <c r="ID119" s="33"/>
      <c r="IE119" s="33"/>
      <c r="IF119" s="33"/>
      <c r="IG119" s="33"/>
      <c r="IH119" s="33"/>
    </row>
    <row r="120" spans="1:242" ht="15" customHeight="1">
      <c r="A120" s="66" t="s">
        <v>17</v>
      </c>
      <c r="B120" s="2">
        <v>2013</v>
      </c>
      <c r="C120" s="1" t="s">
        <v>8</v>
      </c>
      <c r="D120" s="1" t="s">
        <v>18</v>
      </c>
      <c r="E120" s="1" t="s">
        <v>19</v>
      </c>
      <c r="F120" s="1" t="s">
        <v>20</v>
      </c>
      <c r="G120" s="1" t="s">
        <v>21</v>
      </c>
      <c r="H120" s="1" t="s">
        <v>22</v>
      </c>
      <c r="I120" s="1" t="s">
        <v>363</v>
      </c>
      <c r="J120" s="1" t="s">
        <v>16</v>
      </c>
      <c r="K120" s="25" t="s">
        <v>618</v>
      </c>
      <c r="L120" s="1" t="s">
        <v>10</v>
      </c>
      <c r="M120" s="1" t="s">
        <v>10</v>
      </c>
      <c r="N120" s="5" t="s">
        <v>10</v>
      </c>
      <c r="O120" s="4">
        <v>1058</v>
      </c>
      <c r="P120" s="4">
        <f>O120*Q120/100</f>
        <v>160.81599999999997</v>
      </c>
      <c r="Q120" s="5">
        <v>15.2</v>
      </c>
      <c r="R120" s="2">
        <v>62</v>
      </c>
      <c r="HZ120" s="34"/>
    </row>
    <row r="121" spans="1:242" ht="15" customHeight="1">
      <c r="A121" s="66" t="s">
        <v>17</v>
      </c>
      <c r="B121" s="2">
        <v>2013</v>
      </c>
      <c r="C121" s="1" t="s">
        <v>8</v>
      </c>
      <c r="D121" s="1" t="s">
        <v>18</v>
      </c>
      <c r="E121" s="1" t="s">
        <v>19</v>
      </c>
      <c r="F121" s="1" t="s">
        <v>20</v>
      </c>
      <c r="G121" s="1" t="s">
        <v>21</v>
      </c>
      <c r="H121" s="1" t="s">
        <v>22</v>
      </c>
      <c r="I121" s="1" t="s">
        <v>363</v>
      </c>
      <c r="J121" s="1" t="s">
        <v>23</v>
      </c>
      <c r="K121" s="25" t="s">
        <v>618</v>
      </c>
      <c r="L121" s="1" t="s">
        <v>10</v>
      </c>
      <c r="M121" s="1" t="s">
        <v>10</v>
      </c>
      <c r="N121" s="5" t="s">
        <v>10</v>
      </c>
      <c r="O121" s="4">
        <v>297</v>
      </c>
      <c r="P121" s="4">
        <f>O121*Q121/100</f>
        <v>32.076000000000001</v>
      </c>
      <c r="Q121" s="5">
        <v>10.8</v>
      </c>
      <c r="R121" s="2">
        <v>62</v>
      </c>
      <c r="HZ121" s="34"/>
    </row>
    <row r="122" spans="1:242" ht="15" customHeight="1">
      <c r="A122" s="66" t="s">
        <v>17</v>
      </c>
      <c r="B122" s="2">
        <v>2013</v>
      </c>
      <c r="C122" s="1" t="s">
        <v>8</v>
      </c>
      <c r="D122" s="1" t="s">
        <v>18</v>
      </c>
      <c r="E122" s="1" t="s">
        <v>19</v>
      </c>
      <c r="F122" s="1" t="s">
        <v>20</v>
      </c>
      <c r="G122" s="1" t="s">
        <v>21</v>
      </c>
      <c r="H122" s="1" t="s">
        <v>22</v>
      </c>
      <c r="I122" s="1" t="s">
        <v>363</v>
      </c>
      <c r="J122" s="1" t="s">
        <v>23</v>
      </c>
      <c r="K122" s="3" t="s">
        <v>24</v>
      </c>
      <c r="L122" s="1" t="s">
        <v>10</v>
      </c>
      <c r="M122" s="1" t="s">
        <v>10</v>
      </c>
      <c r="N122" s="5" t="s">
        <v>10</v>
      </c>
      <c r="O122" s="4"/>
      <c r="P122" s="4"/>
      <c r="Q122" s="5">
        <v>0</v>
      </c>
      <c r="R122" s="2">
        <v>62</v>
      </c>
      <c r="HZ122" s="34"/>
    </row>
    <row r="123" spans="1:242" ht="15" customHeight="1">
      <c r="A123" s="66" t="s">
        <v>17</v>
      </c>
      <c r="B123" s="2">
        <v>2013</v>
      </c>
      <c r="C123" s="1" t="s">
        <v>8</v>
      </c>
      <c r="D123" s="1" t="s">
        <v>18</v>
      </c>
      <c r="E123" s="1" t="s">
        <v>19</v>
      </c>
      <c r="F123" s="1" t="s">
        <v>20</v>
      </c>
      <c r="G123" s="1" t="s">
        <v>21</v>
      </c>
      <c r="H123" s="1" t="s">
        <v>22</v>
      </c>
      <c r="I123" s="1" t="s">
        <v>363</v>
      </c>
      <c r="J123" s="1" t="s">
        <v>23</v>
      </c>
      <c r="K123" s="3" t="s">
        <v>25</v>
      </c>
      <c r="L123" s="1" t="s">
        <v>10</v>
      </c>
      <c r="M123" s="1" t="s">
        <v>10</v>
      </c>
      <c r="N123" s="5" t="s">
        <v>10</v>
      </c>
      <c r="O123" s="4"/>
      <c r="P123" s="4"/>
      <c r="Q123" s="5">
        <v>4</v>
      </c>
      <c r="R123" s="2">
        <v>62</v>
      </c>
      <c r="HZ123" s="34"/>
    </row>
    <row r="124" spans="1:242" ht="15" customHeight="1">
      <c r="A124" s="66" t="s">
        <v>17</v>
      </c>
      <c r="B124" s="2">
        <v>2013</v>
      </c>
      <c r="C124" s="1" t="s">
        <v>8</v>
      </c>
      <c r="D124" s="1" t="s">
        <v>18</v>
      </c>
      <c r="E124" s="1" t="s">
        <v>19</v>
      </c>
      <c r="F124" s="1" t="s">
        <v>20</v>
      </c>
      <c r="G124" s="1" t="s">
        <v>21</v>
      </c>
      <c r="H124" s="1" t="s">
        <v>22</v>
      </c>
      <c r="I124" s="1" t="s">
        <v>363</v>
      </c>
      <c r="J124" s="1" t="s">
        <v>23</v>
      </c>
      <c r="K124" s="3" t="s">
        <v>26</v>
      </c>
      <c r="L124" s="1" t="s">
        <v>10</v>
      </c>
      <c r="M124" s="1" t="s">
        <v>10</v>
      </c>
      <c r="N124" s="5" t="s">
        <v>10</v>
      </c>
      <c r="O124" s="4"/>
      <c r="P124" s="4"/>
      <c r="Q124" s="5">
        <v>2</v>
      </c>
      <c r="R124" s="2">
        <v>62</v>
      </c>
      <c r="HZ124" s="34"/>
    </row>
    <row r="125" spans="1:242" ht="15" customHeight="1">
      <c r="A125" s="66" t="s">
        <v>17</v>
      </c>
      <c r="B125" s="2">
        <v>2013</v>
      </c>
      <c r="C125" s="1" t="s">
        <v>8</v>
      </c>
      <c r="D125" s="1" t="s">
        <v>18</v>
      </c>
      <c r="E125" s="1" t="s">
        <v>19</v>
      </c>
      <c r="F125" s="1" t="s">
        <v>20</v>
      </c>
      <c r="G125" s="1" t="s">
        <v>21</v>
      </c>
      <c r="H125" s="1" t="s">
        <v>22</v>
      </c>
      <c r="I125" s="1" t="s">
        <v>363</v>
      </c>
      <c r="J125" s="1" t="s">
        <v>23</v>
      </c>
      <c r="K125" s="3" t="s">
        <v>27</v>
      </c>
      <c r="L125" s="1" t="s">
        <v>10</v>
      </c>
      <c r="M125" s="1" t="s">
        <v>10</v>
      </c>
      <c r="N125" s="5" t="s">
        <v>10</v>
      </c>
      <c r="O125" s="4"/>
      <c r="P125" s="4"/>
      <c r="Q125" s="5">
        <v>18</v>
      </c>
      <c r="R125" s="2">
        <v>62</v>
      </c>
      <c r="HZ125" s="34"/>
    </row>
    <row r="126" spans="1:242" ht="15" customHeight="1">
      <c r="A126" s="66" t="s">
        <v>17</v>
      </c>
      <c r="B126" s="2">
        <v>2013</v>
      </c>
      <c r="C126" s="1" t="s">
        <v>8</v>
      </c>
      <c r="D126" s="1" t="s">
        <v>18</v>
      </c>
      <c r="E126" s="1" t="s">
        <v>19</v>
      </c>
      <c r="F126" s="1" t="s">
        <v>20</v>
      </c>
      <c r="G126" s="1" t="s">
        <v>21</v>
      </c>
      <c r="H126" s="1" t="s">
        <v>22</v>
      </c>
      <c r="I126" s="1" t="s">
        <v>363</v>
      </c>
      <c r="J126" s="1" t="s">
        <v>23</v>
      </c>
      <c r="K126" s="3" t="s">
        <v>28</v>
      </c>
      <c r="L126" s="1" t="s">
        <v>10</v>
      </c>
      <c r="M126" s="1" t="s">
        <v>10</v>
      </c>
      <c r="N126" s="5" t="s">
        <v>10</v>
      </c>
      <c r="O126" s="4"/>
      <c r="P126" s="4"/>
      <c r="Q126" s="5">
        <v>14.6</v>
      </c>
      <c r="R126" s="2">
        <v>62</v>
      </c>
      <c r="HZ126" s="34"/>
    </row>
    <row r="127" spans="1:242" ht="15" customHeight="1">
      <c r="A127" s="66" t="s">
        <v>17</v>
      </c>
      <c r="B127" s="2">
        <v>2013</v>
      </c>
      <c r="C127" s="1" t="s">
        <v>8</v>
      </c>
      <c r="D127" s="1" t="s">
        <v>18</v>
      </c>
      <c r="E127" s="1" t="s">
        <v>19</v>
      </c>
      <c r="F127" s="1" t="s">
        <v>20</v>
      </c>
      <c r="G127" s="1" t="s">
        <v>21</v>
      </c>
      <c r="H127" s="1" t="s">
        <v>22</v>
      </c>
      <c r="I127" s="1" t="s">
        <v>363</v>
      </c>
      <c r="J127" s="1" t="s">
        <v>23</v>
      </c>
      <c r="K127" s="3" t="s">
        <v>29</v>
      </c>
      <c r="L127" s="1" t="s">
        <v>10</v>
      </c>
      <c r="M127" s="1" t="s">
        <v>10</v>
      </c>
      <c r="N127" s="5" t="s">
        <v>10</v>
      </c>
      <c r="O127" s="4"/>
      <c r="P127" s="4"/>
      <c r="Q127" s="5">
        <v>27.1</v>
      </c>
      <c r="R127" s="2">
        <v>62</v>
      </c>
      <c r="HZ127" s="34"/>
    </row>
    <row r="128" spans="1:242" ht="15" customHeight="1">
      <c r="A128" s="66" t="s">
        <v>17</v>
      </c>
      <c r="B128" s="2">
        <v>2013</v>
      </c>
      <c r="C128" s="1" t="s">
        <v>8</v>
      </c>
      <c r="D128" s="1" t="s">
        <v>18</v>
      </c>
      <c r="E128" s="1" t="s">
        <v>19</v>
      </c>
      <c r="F128" s="1" t="s">
        <v>20</v>
      </c>
      <c r="G128" s="1" t="s">
        <v>21</v>
      </c>
      <c r="H128" s="1" t="s">
        <v>22</v>
      </c>
      <c r="I128" s="1" t="s">
        <v>363</v>
      </c>
      <c r="J128" s="1" t="s">
        <v>11</v>
      </c>
      <c r="K128" s="25" t="s">
        <v>618</v>
      </c>
      <c r="L128" s="1" t="s">
        <v>10</v>
      </c>
      <c r="M128" s="1" t="s">
        <v>10</v>
      </c>
      <c r="N128" s="5" t="s">
        <v>10</v>
      </c>
      <c r="O128" s="4">
        <v>761</v>
      </c>
      <c r="P128" s="4">
        <f>O128*Q128/100</f>
        <v>129.37</v>
      </c>
      <c r="Q128" s="5">
        <v>17</v>
      </c>
      <c r="R128" s="2">
        <v>62</v>
      </c>
      <c r="HZ128" s="34"/>
    </row>
    <row r="129" spans="1:234" ht="15" customHeight="1">
      <c r="A129" s="66" t="s">
        <v>17</v>
      </c>
      <c r="B129" s="2">
        <v>2013</v>
      </c>
      <c r="C129" s="1" t="s">
        <v>8</v>
      </c>
      <c r="D129" s="1" t="s">
        <v>18</v>
      </c>
      <c r="E129" s="1" t="s">
        <v>19</v>
      </c>
      <c r="F129" s="1" t="s">
        <v>20</v>
      </c>
      <c r="G129" s="1" t="s">
        <v>21</v>
      </c>
      <c r="H129" s="1" t="s">
        <v>22</v>
      </c>
      <c r="I129" s="1" t="s">
        <v>363</v>
      </c>
      <c r="J129" s="1" t="s">
        <v>11</v>
      </c>
      <c r="K129" s="3" t="s">
        <v>24</v>
      </c>
      <c r="L129" s="1" t="s">
        <v>10</v>
      </c>
      <c r="M129" s="1" t="s">
        <v>10</v>
      </c>
      <c r="N129" s="5" t="s">
        <v>10</v>
      </c>
      <c r="O129" s="4"/>
      <c r="P129" s="4"/>
      <c r="Q129" s="5">
        <v>11.2</v>
      </c>
      <c r="R129" s="2">
        <v>62</v>
      </c>
      <c r="HZ129" s="34"/>
    </row>
    <row r="130" spans="1:234" ht="15" customHeight="1">
      <c r="A130" s="66" t="s">
        <v>17</v>
      </c>
      <c r="B130" s="2">
        <v>2013</v>
      </c>
      <c r="C130" s="1" t="s">
        <v>8</v>
      </c>
      <c r="D130" s="1" t="s">
        <v>18</v>
      </c>
      <c r="E130" s="1" t="s">
        <v>19</v>
      </c>
      <c r="F130" s="1" t="s">
        <v>20</v>
      </c>
      <c r="G130" s="1" t="s">
        <v>21</v>
      </c>
      <c r="H130" s="1" t="s">
        <v>22</v>
      </c>
      <c r="I130" s="1" t="s">
        <v>363</v>
      </c>
      <c r="J130" s="1" t="s">
        <v>11</v>
      </c>
      <c r="K130" s="3" t="s">
        <v>25</v>
      </c>
      <c r="L130" s="1" t="s">
        <v>10</v>
      </c>
      <c r="M130" s="1" t="s">
        <v>10</v>
      </c>
      <c r="N130" s="5" t="s">
        <v>10</v>
      </c>
      <c r="O130" s="4"/>
      <c r="P130" s="4"/>
      <c r="Q130" s="5">
        <v>9</v>
      </c>
      <c r="R130" s="2">
        <v>62</v>
      </c>
      <c r="HZ130" s="34"/>
    </row>
    <row r="131" spans="1:234" ht="15" customHeight="1">
      <c r="A131" s="66" t="s">
        <v>17</v>
      </c>
      <c r="B131" s="2">
        <v>2013</v>
      </c>
      <c r="C131" s="1" t="s">
        <v>8</v>
      </c>
      <c r="D131" s="1" t="s">
        <v>18</v>
      </c>
      <c r="E131" s="1" t="s">
        <v>19</v>
      </c>
      <c r="F131" s="1" t="s">
        <v>20</v>
      </c>
      <c r="G131" s="1" t="s">
        <v>21</v>
      </c>
      <c r="H131" s="1" t="s">
        <v>22</v>
      </c>
      <c r="I131" s="1" t="s">
        <v>363</v>
      </c>
      <c r="J131" s="1" t="s">
        <v>11</v>
      </c>
      <c r="K131" s="3" t="s">
        <v>26</v>
      </c>
      <c r="L131" s="1" t="s">
        <v>10</v>
      </c>
      <c r="M131" s="1" t="s">
        <v>10</v>
      </c>
      <c r="N131" s="5" t="s">
        <v>10</v>
      </c>
      <c r="O131" s="4"/>
      <c r="P131" s="4"/>
      <c r="Q131" s="5">
        <v>14.6</v>
      </c>
      <c r="R131" s="2">
        <v>62</v>
      </c>
      <c r="HZ131" s="34"/>
    </row>
    <row r="132" spans="1:234" ht="15" customHeight="1">
      <c r="A132" s="66" t="s">
        <v>17</v>
      </c>
      <c r="B132" s="2">
        <v>2013</v>
      </c>
      <c r="C132" s="1" t="s">
        <v>8</v>
      </c>
      <c r="D132" s="1" t="s">
        <v>18</v>
      </c>
      <c r="E132" s="1" t="s">
        <v>19</v>
      </c>
      <c r="F132" s="1" t="s">
        <v>20</v>
      </c>
      <c r="G132" s="1" t="s">
        <v>21</v>
      </c>
      <c r="H132" s="1" t="s">
        <v>22</v>
      </c>
      <c r="I132" s="1" t="s">
        <v>363</v>
      </c>
      <c r="J132" s="1" t="s">
        <v>11</v>
      </c>
      <c r="K132" s="3" t="s">
        <v>27</v>
      </c>
      <c r="L132" s="1" t="s">
        <v>10</v>
      </c>
      <c r="M132" s="1" t="s">
        <v>10</v>
      </c>
      <c r="N132" s="5" t="s">
        <v>10</v>
      </c>
      <c r="O132" s="4"/>
      <c r="P132" s="4"/>
      <c r="Q132" s="5">
        <v>20.3</v>
      </c>
      <c r="R132" s="2">
        <v>62</v>
      </c>
      <c r="HZ132" s="34"/>
    </row>
    <row r="133" spans="1:234" ht="15" customHeight="1">
      <c r="A133" s="66" t="s">
        <v>17</v>
      </c>
      <c r="B133" s="2">
        <v>2013</v>
      </c>
      <c r="C133" s="1" t="s">
        <v>8</v>
      </c>
      <c r="D133" s="1" t="s">
        <v>18</v>
      </c>
      <c r="E133" s="1" t="s">
        <v>19</v>
      </c>
      <c r="F133" s="1" t="s">
        <v>20</v>
      </c>
      <c r="G133" s="1" t="s">
        <v>21</v>
      </c>
      <c r="H133" s="1" t="s">
        <v>22</v>
      </c>
      <c r="I133" s="1" t="s">
        <v>363</v>
      </c>
      <c r="J133" s="1" t="s">
        <v>11</v>
      </c>
      <c r="K133" s="3" t="s">
        <v>28</v>
      </c>
      <c r="L133" s="1" t="s">
        <v>10</v>
      </c>
      <c r="M133" s="1" t="s">
        <v>10</v>
      </c>
      <c r="N133" s="5" t="s">
        <v>10</v>
      </c>
      <c r="O133" s="4"/>
      <c r="P133" s="4"/>
      <c r="Q133" s="5">
        <v>21.1</v>
      </c>
      <c r="R133" s="2">
        <v>62</v>
      </c>
      <c r="HZ133" s="34"/>
    </row>
    <row r="134" spans="1:234" ht="15" customHeight="1">
      <c r="A134" s="66" t="s">
        <v>17</v>
      </c>
      <c r="B134" s="2">
        <v>2013</v>
      </c>
      <c r="C134" s="1" t="s">
        <v>8</v>
      </c>
      <c r="D134" s="1" t="s">
        <v>18</v>
      </c>
      <c r="E134" s="1" t="s">
        <v>19</v>
      </c>
      <c r="F134" s="1" t="s">
        <v>20</v>
      </c>
      <c r="G134" s="1" t="s">
        <v>21</v>
      </c>
      <c r="H134" s="1" t="s">
        <v>22</v>
      </c>
      <c r="I134" s="1" t="s">
        <v>363</v>
      </c>
      <c r="J134" s="1" t="s">
        <v>11</v>
      </c>
      <c r="K134" s="3" t="s">
        <v>29</v>
      </c>
      <c r="L134" s="1" t="s">
        <v>10</v>
      </c>
      <c r="M134" s="1" t="s">
        <v>10</v>
      </c>
      <c r="N134" s="5" t="s">
        <v>10</v>
      </c>
      <c r="O134" s="4"/>
      <c r="P134" s="4"/>
      <c r="Q134" s="5">
        <v>38.299999999999997</v>
      </c>
      <c r="R134" s="2">
        <v>62</v>
      </c>
      <c r="HZ134" s="34"/>
    </row>
    <row r="135" spans="1:234" ht="15" customHeight="1">
      <c r="A135" s="66" t="s">
        <v>30</v>
      </c>
      <c r="B135" s="2">
        <v>2016</v>
      </c>
      <c r="C135" s="1" t="s">
        <v>8</v>
      </c>
      <c r="D135" s="1" t="s">
        <v>367</v>
      </c>
      <c r="E135" s="1" t="s">
        <v>31</v>
      </c>
      <c r="F135" s="1" t="s">
        <v>9</v>
      </c>
      <c r="G135" s="1" t="s">
        <v>32</v>
      </c>
      <c r="H135" s="1" t="s">
        <v>22</v>
      </c>
      <c r="I135" s="1" t="s">
        <v>33</v>
      </c>
      <c r="J135" s="1" t="s">
        <v>16</v>
      </c>
      <c r="K135" s="3" t="s">
        <v>34</v>
      </c>
      <c r="L135" s="1" t="s">
        <v>10</v>
      </c>
      <c r="M135" s="1" t="s">
        <v>10</v>
      </c>
      <c r="N135" s="5" t="s">
        <v>10</v>
      </c>
      <c r="O135" s="4">
        <f t="shared" ref="O135:P139" si="7">O145+O140</f>
        <v>1243</v>
      </c>
      <c r="P135" s="4">
        <f t="shared" si="7"/>
        <v>234</v>
      </c>
      <c r="Q135" s="5">
        <f t="shared" ref="Q135:Q149" si="8">100*P135/O135</f>
        <v>18.825422365245373</v>
      </c>
      <c r="R135" s="2">
        <v>63</v>
      </c>
      <c r="HZ135" s="34"/>
    </row>
    <row r="136" spans="1:234" ht="15" customHeight="1">
      <c r="A136" s="66" t="s">
        <v>30</v>
      </c>
      <c r="B136" s="2">
        <v>2016</v>
      </c>
      <c r="C136" s="1" t="s">
        <v>8</v>
      </c>
      <c r="D136" s="1" t="s">
        <v>367</v>
      </c>
      <c r="E136" s="1" t="s">
        <v>31</v>
      </c>
      <c r="F136" s="1" t="s">
        <v>9</v>
      </c>
      <c r="G136" s="1" t="s">
        <v>32</v>
      </c>
      <c r="H136" s="1" t="s">
        <v>22</v>
      </c>
      <c r="I136" s="1" t="s">
        <v>33</v>
      </c>
      <c r="J136" s="1" t="s">
        <v>16</v>
      </c>
      <c r="K136" s="3" t="s">
        <v>35</v>
      </c>
      <c r="L136" s="1" t="s">
        <v>10</v>
      </c>
      <c r="M136" s="1" t="s">
        <v>10</v>
      </c>
      <c r="N136" s="5" t="s">
        <v>10</v>
      </c>
      <c r="O136" s="4">
        <f t="shared" si="7"/>
        <v>497</v>
      </c>
      <c r="P136" s="4">
        <f t="shared" si="7"/>
        <v>40</v>
      </c>
      <c r="Q136" s="5">
        <f t="shared" si="8"/>
        <v>8.0482897384305829</v>
      </c>
      <c r="R136" s="2">
        <v>63</v>
      </c>
      <c r="HZ136" s="34"/>
    </row>
    <row r="137" spans="1:234" ht="15" customHeight="1">
      <c r="A137" s="66" t="s">
        <v>30</v>
      </c>
      <c r="B137" s="2">
        <v>2016</v>
      </c>
      <c r="C137" s="1" t="s">
        <v>8</v>
      </c>
      <c r="D137" s="1" t="s">
        <v>367</v>
      </c>
      <c r="E137" s="1" t="s">
        <v>31</v>
      </c>
      <c r="F137" s="1" t="s">
        <v>9</v>
      </c>
      <c r="G137" s="1" t="s">
        <v>32</v>
      </c>
      <c r="H137" s="1" t="s">
        <v>22</v>
      </c>
      <c r="I137" s="1" t="s">
        <v>33</v>
      </c>
      <c r="J137" s="1" t="s">
        <v>16</v>
      </c>
      <c r="K137" s="3" t="s">
        <v>26</v>
      </c>
      <c r="L137" s="1" t="s">
        <v>10</v>
      </c>
      <c r="M137" s="1" t="s">
        <v>10</v>
      </c>
      <c r="N137" s="5" t="s">
        <v>10</v>
      </c>
      <c r="O137" s="4">
        <f t="shared" si="7"/>
        <v>296</v>
      </c>
      <c r="P137" s="4">
        <f t="shared" si="7"/>
        <v>63</v>
      </c>
      <c r="Q137" s="5">
        <f t="shared" si="8"/>
        <v>21.283783783783782</v>
      </c>
      <c r="R137" s="2">
        <v>63</v>
      </c>
      <c r="HZ137" s="34"/>
    </row>
    <row r="138" spans="1:234" ht="15" customHeight="1">
      <c r="A138" s="66" t="s">
        <v>30</v>
      </c>
      <c r="B138" s="2">
        <v>2016</v>
      </c>
      <c r="C138" s="1" t="s">
        <v>8</v>
      </c>
      <c r="D138" s="1" t="s">
        <v>367</v>
      </c>
      <c r="E138" s="1" t="s">
        <v>31</v>
      </c>
      <c r="F138" s="1" t="s">
        <v>9</v>
      </c>
      <c r="G138" s="1" t="s">
        <v>32</v>
      </c>
      <c r="H138" s="1" t="s">
        <v>22</v>
      </c>
      <c r="I138" s="1" t="s">
        <v>33</v>
      </c>
      <c r="J138" s="1" t="s">
        <v>16</v>
      </c>
      <c r="K138" s="3" t="s">
        <v>27</v>
      </c>
      <c r="L138" s="1" t="s">
        <v>10</v>
      </c>
      <c r="M138" s="1" t="s">
        <v>10</v>
      </c>
      <c r="N138" s="5" t="s">
        <v>10</v>
      </c>
      <c r="O138" s="4">
        <f t="shared" si="7"/>
        <v>278</v>
      </c>
      <c r="P138" s="4">
        <f t="shared" si="7"/>
        <v>77</v>
      </c>
      <c r="Q138" s="5">
        <f t="shared" si="8"/>
        <v>27.697841726618705</v>
      </c>
      <c r="R138" s="2">
        <v>63</v>
      </c>
      <c r="HZ138" s="34"/>
    </row>
    <row r="139" spans="1:234" ht="15" customHeight="1">
      <c r="A139" s="66" t="s">
        <v>30</v>
      </c>
      <c r="B139" s="2">
        <v>2016</v>
      </c>
      <c r="C139" s="1" t="s">
        <v>8</v>
      </c>
      <c r="D139" s="1" t="s">
        <v>367</v>
      </c>
      <c r="E139" s="1" t="s">
        <v>31</v>
      </c>
      <c r="F139" s="1" t="s">
        <v>9</v>
      </c>
      <c r="G139" s="1" t="s">
        <v>32</v>
      </c>
      <c r="H139" s="1" t="s">
        <v>22</v>
      </c>
      <c r="I139" s="1" t="s">
        <v>33</v>
      </c>
      <c r="J139" s="1" t="s">
        <v>16</v>
      </c>
      <c r="K139" s="3" t="s">
        <v>28</v>
      </c>
      <c r="L139" s="1" t="s">
        <v>10</v>
      </c>
      <c r="M139" s="1" t="s">
        <v>10</v>
      </c>
      <c r="N139" s="5" t="s">
        <v>10</v>
      </c>
      <c r="O139" s="4">
        <f t="shared" si="7"/>
        <v>172</v>
      </c>
      <c r="P139" s="4">
        <f t="shared" si="7"/>
        <v>54</v>
      </c>
      <c r="Q139" s="5">
        <f t="shared" si="8"/>
        <v>31.395348837209301</v>
      </c>
      <c r="R139" s="2">
        <v>63</v>
      </c>
      <c r="HZ139" s="34"/>
    </row>
    <row r="140" spans="1:234" ht="15" customHeight="1">
      <c r="A140" s="66" t="s">
        <v>30</v>
      </c>
      <c r="B140" s="2">
        <v>2016</v>
      </c>
      <c r="C140" s="1" t="s">
        <v>8</v>
      </c>
      <c r="D140" s="1" t="s">
        <v>367</v>
      </c>
      <c r="E140" s="1" t="s">
        <v>31</v>
      </c>
      <c r="F140" s="1" t="s">
        <v>9</v>
      </c>
      <c r="G140" s="1" t="s">
        <v>32</v>
      </c>
      <c r="H140" s="1" t="s">
        <v>22</v>
      </c>
      <c r="I140" s="1" t="s">
        <v>33</v>
      </c>
      <c r="J140" s="1" t="s">
        <v>23</v>
      </c>
      <c r="K140" s="3" t="s">
        <v>36</v>
      </c>
      <c r="L140" s="1" t="s">
        <v>10</v>
      </c>
      <c r="M140" s="1" t="s">
        <v>10</v>
      </c>
      <c r="N140" s="5" t="s">
        <v>10</v>
      </c>
      <c r="O140" s="4">
        <v>543</v>
      </c>
      <c r="P140" s="4">
        <f>7+17+26+16</f>
        <v>66</v>
      </c>
      <c r="Q140" s="5">
        <f t="shared" si="8"/>
        <v>12.154696132596685</v>
      </c>
      <c r="R140" s="2">
        <v>63</v>
      </c>
      <c r="HZ140" s="34"/>
    </row>
    <row r="141" spans="1:234" ht="15" customHeight="1">
      <c r="A141" s="66" t="s">
        <v>30</v>
      </c>
      <c r="B141" s="2">
        <v>2016</v>
      </c>
      <c r="C141" s="1" t="s">
        <v>8</v>
      </c>
      <c r="D141" s="1" t="s">
        <v>367</v>
      </c>
      <c r="E141" s="1" t="s">
        <v>31</v>
      </c>
      <c r="F141" s="1" t="s">
        <v>9</v>
      </c>
      <c r="G141" s="1" t="s">
        <v>32</v>
      </c>
      <c r="H141" s="1" t="s">
        <v>22</v>
      </c>
      <c r="I141" s="1" t="s">
        <v>33</v>
      </c>
      <c r="J141" s="1" t="s">
        <v>23</v>
      </c>
      <c r="K141" s="3" t="s">
        <v>35</v>
      </c>
      <c r="L141" s="1" t="s">
        <v>10</v>
      </c>
      <c r="M141" s="1" t="s">
        <v>10</v>
      </c>
      <c r="N141" s="5" t="s">
        <v>10</v>
      </c>
      <c r="O141" s="4">
        <v>204</v>
      </c>
      <c r="P141" s="4">
        <v>7</v>
      </c>
      <c r="Q141" s="5">
        <f t="shared" si="8"/>
        <v>3.4313725490196076</v>
      </c>
      <c r="R141" s="2">
        <v>63</v>
      </c>
      <c r="HZ141" s="34"/>
    </row>
    <row r="142" spans="1:234" ht="15" customHeight="1">
      <c r="A142" s="66" t="s">
        <v>30</v>
      </c>
      <c r="B142" s="2">
        <v>2016</v>
      </c>
      <c r="C142" s="1" t="s">
        <v>8</v>
      </c>
      <c r="D142" s="1" t="s">
        <v>367</v>
      </c>
      <c r="E142" s="1" t="s">
        <v>31</v>
      </c>
      <c r="F142" s="1" t="s">
        <v>9</v>
      </c>
      <c r="G142" s="1" t="s">
        <v>32</v>
      </c>
      <c r="H142" s="1" t="s">
        <v>22</v>
      </c>
      <c r="I142" s="1" t="s">
        <v>33</v>
      </c>
      <c r="J142" s="1" t="s">
        <v>23</v>
      </c>
      <c r="K142" s="3" t="s">
        <v>26</v>
      </c>
      <c r="L142" s="1" t="s">
        <v>10</v>
      </c>
      <c r="M142" s="1" t="s">
        <v>10</v>
      </c>
      <c r="N142" s="5" t="s">
        <v>10</v>
      </c>
      <c r="O142" s="4">
        <v>128</v>
      </c>
      <c r="P142" s="4">
        <v>17</v>
      </c>
      <c r="Q142" s="5">
        <f t="shared" si="8"/>
        <v>13.28125</v>
      </c>
      <c r="R142" s="2">
        <v>63</v>
      </c>
      <c r="HZ142" s="34"/>
    </row>
    <row r="143" spans="1:234" ht="15" customHeight="1">
      <c r="A143" s="66" t="s">
        <v>30</v>
      </c>
      <c r="B143" s="2">
        <v>2016</v>
      </c>
      <c r="C143" s="1" t="s">
        <v>8</v>
      </c>
      <c r="D143" s="1" t="s">
        <v>367</v>
      </c>
      <c r="E143" s="1" t="s">
        <v>31</v>
      </c>
      <c r="F143" s="1" t="s">
        <v>9</v>
      </c>
      <c r="G143" s="1" t="s">
        <v>32</v>
      </c>
      <c r="H143" s="1" t="s">
        <v>22</v>
      </c>
      <c r="I143" s="1" t="s">
        <v>33</v>
      </c>
      <c r="J143" s="1" t="s">
        <v>23</v>
      </c>
      <c r="K143" s="3" t="s">
        <v>27</v>
      </c>
      <c r="L143" s="1" t="s">
        <v>10</v>
      </c>
      <c r="M143" s="1" t="s">
        <v>10</v>
      </c>
      <c r="N143" s="5" t="s">
        <v>10</v>
      </c>
      <c r="O143" s="4">
        <v>131</v>
      </c>
      <c r="P143" s="4">
        <v>26</v>
      </c>
      <c r="Q143" s="5">
        <f t="shared" si="8"/>
        <v>19.847328244274809</v>
      </c>
      <c r="R143" s="2">
        <v>63</v>
      </c>
      <c r="HZ143" s="34"/>
    </row>
    <row r="144" spans="1:234" ht="15" customHeight="1">
      <c r="A144" s="66" t="s">
        <v>30</v>
      </c>
      <c r="B144" s="2">
        <v>2016</v>
      </c>
      <c r="C144" s="1" t="s">
        <v>8</v>
      </c>
      <c r="D144" s="1" t="s">
        <v>367</v>
      </c>
      <c r="E144" s="1" t="s">
        <v>31</v>
      </c>
      <c r="F144" s="1" t="s">
        <v>9</v>
      </c>
      <c r="G144" s="1" t="s">
        <v>32</v>
      </c>
      <c r="H144" s="1" t="s">
        <v>22</v>
      </c>
      <c r="I144" s="1" t="s">
        <v>33</v>
      </c>
      <c r="J144" s="1" t="s">
        <v>23</v>
      </c>
      <c r="K144" s="3" t="s">
        <v>28</v>
      </c>
      <c r="L144" s="1" t="s">
        <v>10</v>
      </c>
      <c r="M144" s="1" t="s">
        <v>10</v>
      </c>
      <c r="N144" s="5" t="s">
        <v>10</v>
      </c>
      <c r="O144" s="4">
        <v>80</v>
      </c>
      <c r="P144" s="4">
        <v>16</v>
      </c>
      <c r="Q144" s="5">
        <f t="shared" si="8"/>
        <v>20</v>
      </c>
      <c r="R144" s="2">
        <v>63</v>
      </c>
      <c r="HZ144" s="34"/>
    </row>
    <row r="145" spans="1:234" ht="15" customHeight="1">
      <c r="A145" s="66" t="s">
        <v>30</v>
      </c>
      <c r="B145" s="2">
        <v>2016</v>
      </c>
      <c r="C145" s="1" t="s">
        <v>8</v>
      </c>
      <c r="D145" s="1" t="s">
        <v>367</v>
      </c>
      <c r="E145" s="1" t="s">
        <v>31</v>
      </c>
      <c r="F145" s="1" t="s">
        <v>9</v>
      </c>
      <c r="G145" s="1" t="s">
        <v>32</v>
      </c>
      <c r="H145" s="1" t="s">
        <v>22</v>
      </c>
      <c r="I145" s="1" t="s">
        <v>33</v>
      </c>
      <c r="J145" s="1" t="s">
        <v>11</v>
      </c>
      <c r="K145" s="3" t="s">
        <v>37</v>
      </c>
      <c r="L145" s="1" t="s">
        <v>10</v>
      </c>
      <c r="M145" s="1" t="s">
        <v>10</v>
      </c>
      <c r="N145" s="5" t="s">
        <v>10</v>
      </c>
      <c r="O145" s="4">
        <v>700</v>
      </c>
      <c r="P145" s="4">
        <f>33+46+51+38</f>
        <v>168</v>
      </c>
      <c r="Q145" s="5">
        <f t="shared" si="8"/>
        <v>24</v>
      </c>
      <c r="R145" s="2">
        <v>63</v>
      </c>
      <c r="HZ145" s="34"/>
    </row>
    <row r="146" spans="1:234" ht="15" customHeight="1">
      <c r="A146" s="66" t="s">
        <v>30</v>
      </c>
      <c r="B146" s="2">
        <v>2016</v>
      </c>
      <c r="C146" s="1" t="s">
        <v>8</v>
      </c>
      <c r="D146" s="1" t="s">
        <v>367</v>
      </c>
      <c r="E146" s="1" t="s">
        <v>31</v>
      </c>
      <c r="F146" s="1" t="s">
        <v>9</v>
      </c>
      <c r="G146" s="1" t="s">
        <v>32</v>
      </c>
      <c r="H146" s="1" t="s">
        <v>22</v>
      </c>
      <c r="I146" s="1" t="s">
        <v>33</v>
      </c>
      <c r="J146" s="1" t="s">
        <v>11</v>
      </c>
      <c r="K146" s="3" t="s">
        <v>35</v>
      </c>
      <c r="L146" s="1" t="s">
        <v>10</v>
      </c>
      <c r="M146" s="1" t="s">
        <v>10</v>
      </c>
      <c r="N146" s="5" t="s">
        <v>10</v>
      </c>
      <c r="O146" s="4">
        <v>293</v>
      </c>
      <c r="P146" s="4">
        <v>33</v>
      </c>
      <c r="Q146" s="5">
        <f t="shared" si="8"/>
        <v>11.262798634812286</v>
      </c>
      <c r="R146" s="2">
        <v>63</v>
      </c>
      <c r="HZ146" s="34"/>
    </row>
    <row r="147" spans="1:234" ht="15" customHeight="1">
      <c r="A147" s="66" t="s">
        <v>30</v>
      </c>
      <c r="B147" s="2">
        <v>2016</v>
      </c>
      <c r="C147" s="1" t="s">
        <v>8</v>
      </c>
      <c r="D147" s="1" t="s">
        <v>367</v>
      </c>
      <c r="E147" s="1" t="s">
        <v>31</v>
      </c>
      <c r="F147" s="1" t="s">
        <v>9</v>
      </c>
      <c r="G147" s="1" t="s">
        <v>32</v>
      </c>
      <c r="H147" s="1" t="s">
        <v>22</v>
      </c>
      <c r="I147" s="1" t="s">
        <v>33</v>
      </c>
      <c r="J147" s="1" t="s">
        <v>11</v>
      </c>
      <c r="K147" s="3" t="s">
        <v>26</v>
      </c>
      <c r="L147" s="1" t="s">
        <v>10</v>
      </c>
      <c r="M147" s="1" t="s">
        <v>10</v>
      </c>
      <c r="N147" s="5" t="s">
        <v>10</v>
      </c>
      <c r="O147" s="4">
        <v>168</v>
      </c>
      <c r="P147" s="4">
        <v>46</v>
      </c>
      <c r="Q147" s="5">
        <f t="shared" si="8"/>
        <v>27.38095238095238</v>
      </c>
      <c r="R147" s="2">
        <v>63</v>
      </c>
      <c r="HZ147" s="34"/>
    </row>
    <row r="148" spans="1:234" ht="15" customHeight="1">
      <c r="A148" s="66" t="s">
        <v>30</v>
      </c>
      <c r="B148" s="2">
        <v>2016</v>
      </c>
      <c r="C148" s="1" t="s">
        <v>8</v>
      </c>
      <c r="D148" s="1" t="s">
        <v>367</v>
      </c>
      <c r="E148" s="1" t="s">
        <v>31</v>
      </c>
      <c r="F148" s="1" t="s">
        <v>9</v>
      </c>
      <c r="G148" s="1" t="s">
        <v>32</v>
      </c>
      <c r="H148" s="1" t="s">
        <v>22</v>
      </c>
      <c r="I148" s="1" t="s">
        <v>33</v>
      </c>
      <c r="J148" s="1" t="s">
        <v>11</v>
      </c>
      <c r="K148" s="3" t="s">
        <v>27</v>
      </c>
      <c r="L148" s="1" t="s">
        <v>10</v>
      </c>
      <c r="M148" s="1" t="s">
        <v>10</v>
      </c>
      <c r="N148" s="5" t="s">
        <v>10</v>
      </c>
      <c r="O148" s="4">
        <v>147</v>
      </c>
      <c r="P148" s="4">
        <v>51</v>
      </c>
      <c r="Q148" s="5">
        <f t="shared" si="8"/>
        <v>34.693877551020407</v>
      </c>
      <c r="R148" s="2">
        <v>63</v>
      </c>
      <c r="HZ148" s="34"/>
    </row>
    <row r="149" spans="1:234" ht="15" customHeight="1">
      <c r="A149" s="66" t="s">
        <v>30</v>
      </c>
      <c r="B149" s="2">
        <v>2016</v>
      </c>
      <c r="C149" s="1" t="s">
        <v>8</v>
      </c>
      <c r="D149" s="1" t="s">
        <v>367</v>
      </c>
      <c r="E149" s="1" t="s">
        <v>31</v>
      </c>
      <c r="F149" s="1" t="s">
        <v>9</v>
      </c>
      <c r="G149" s="1" t="s">
        <v>32</v>
      </c>
      <c r="H149" s="1" t="s">
        <v>22</v>
      </c>
      <c r="I149" s="1" t="s">
        <v>33</v>
      </c>
      <c r="J149" s="1" t="s">
        <v>11</v>
      </c>
      <c r="K149" s="3" t="s">
        <v>28</v>
      </c>
      <c r="L149" s="1" t="s">
        <v>10</v>
      </c>
      <c r="M149" s="1" t="s">
        <v>10</v>
      </c>
      <c r="N149" s="5" t="s">
        <v>10</v>
      </c>
      <c r="O149" s="4">
        <v>92</v>
      </c>
      <c r="P149" s="4">
        <v>38</v>
      </c>
      <c r="Q149" s="5">
        <f t="shared" si="8"/>
        <v>41.304347826086953</v>
      </c>
      <c r="R149" s="2">
        <v>63</v>
      </c>
      <c r="HZ149" s="34"/>
    </row>
    <row r="150" spans="1:234" ht="15" customHeight="1">
      <c r="A150" s="67" t="s">
        <v>392</v>
      </c>
      <c r="B150" s="2">
        <v>2013</v>
      </c>
      <c r="C150" s="16" t="s">
        <v>605</v>
      </c>
      <c r="D150" s="1" t="s">
        <v>15</v>
      </c>
      <c r="E150" s="16" t="s">
        <v>393</v>
      </c>
      <c r="F150" s="16" t="s">
        <v>9</v>
      </c>
      <c r="G150" s="16" t="s">
        <v>391</v>
      </c>
      <c r="H150" s="16" t="s">
        <v>57</v>
      </c>
      <c r="I150" s="16" t="s">
        <v>394</v>
      </c>
      <c r="J150" s="16" t="s">
        <v>11</v>
      </c>
      <c r="K150" s="25" t="s">
        <v>395</v>
      </c>
      <c r="L150" s="16" t="s">
        <v>10</v>
      </c>
      <c r="M150" s="16" t="s">
        <v>10</v>
      </c>
      <c r="N150" s="83" t="s">
        <v>10</v>
      </c>
      <c r="O150" s="4">
        <v>487</v>
      </c>
      <c r="P150" s="4">
        <v>32</v>
      </c>
      <c r="Q150" s="5">
        <v>6.6</v>
      </c>
      <c r="R150" s="2">
        <v>64</v>
      </c>
      <c r="HZ150" s="34"/>
    </row>
    <row r="151" spans="1:234" ht="15" customHeight="1">
      <c r="A151" s="67" t="s">
        <v>392</v>
      </c>
      <c r="B151" s="2">
        <v>2013</v>
      </c>
      <c r="C151" s="16" t="s">
        <v>605</v>
      </c>
      <c r="D151" s="1" t="s">
        <v>15</v>
      </c>
      <c r="E151" s="16" t="s">
        <v>393</v>
      </c>
      <c r="F151" s="16" t="s">
        <v>9</v>
      </c>
      <c r="G151" s="16" t="s">
        <v>391</v>
      </c>
      <c r="H151" s="16" t="s">
        <v>57</v>
      </c>
      <c r="I151" s="16" t="s">
        <v>394</v>
      </c>
      <c r="J151" s="16" t="s">
        <v>11</v>
      </c>
      <c r="K151" s="25" t="s">
        <v>396</v>
      </c>
      <c r="L151" s="16" t="s">
        <v>10</v>
      </c>
      <c r="M151" s="16" t="s">
        <v>10</v>
      </c>
      <c r="N151" s="83" t="s">
        <v>10</v>
      </c>
      <c r="O151" s="4">
        <v>15</v>
      </c>
      <c r="P151" s="4">
        <v>0</v>
      </c>
      <c r="Q151" s="5">
        <v>0</v>
      </c>
      <c r="R151" s="2">
        <v>64</v>
      </c>
      <c r="HZ151" s="34"/>
    </row>
    <row r="152" spans="1:234" ht="15" customHeight="1">
      <c r="A152" s="67" t="s">
        <v>392</v>
      </c>
      <c r="B152" s="2">
        <v>2013</v>
      </c>
      <c r="C152" s="16" t="s">
        <v>605</v>
      </c>
      <c r="D152" s="1" t="s">
        <v>15</v>
      </c>
      <c r="E152" s="16" t="s">
        <v>393</v>
      </c>
      <c r="F152" s="16" t="s">
        <v>9</v>
      </c>
      <c r="G152" s="16" t="s">
        <v>391</v>
      </c>
      <c r="H152" s="16" t="s">
        <v>57</v>
      </c>
      <c r="I152" s="16" t="s">
        <v>394</v>
      </c>
      <c r="J152" s="16" t="s">
        <v>11</v>
      </c>
      <c r="K152" s="25" t="s">
        <v>397</v>
      </c>
      <c r="L152" s="16" t="s">
        <v>10</v>
      </c>
      <c r="M152" s="16" t="s">
        <v>10</v>
      </c>
      <c r="N152" s="83" t="s">
        <v>10</v>
      </c>
      <c r="O152" s="4">
        <v>243</v>
      </c>
      <c r="P152" s="4">
        <v>15</v>
      </c>
      <c r="Q152" s="5">
        <v>46.8</v>
      </c>
      <c r="R152" s="2">
        <v>64</v>
      </c>
      <c r="HZ152" s="34"/>
    </row>
    <row r="153" spans="1:234" ht="15" customHeight="1">
      <c r="A153" s="67" t="s">
        <v>392</v>
      </c>
      <c r="B153" s="2">
        <v>2013</v>
      </c>
      <c r="C153" s="16" t="s">
        <v>605</v>
      </c>
      <c r="D153" s="1" t="s">
        <v>15</v>
      </c>
      <c r="E153" s="16" t="s">
        <v>393</v>
      </c>
      <c r="F153" s="16" t="s">
        <v>9</v>
      </c>
      <c r="G153" s="16" t="s">
        <v>391</v>
      </c>
      <c r="H153" s="16" t="s">
        <v>57</v>
      </c>
      <c r="I153" s="16" t="s">
        <v>394</v>
      </c>
      <c r="J153" s="16" t="s">
        <v>11</v>
      </c>
      <c r="K153" s="25" t="s">
        <v>211</v>
      </c>
      <c r="L153" s="16" t="s">
        <v>10</v>
      </c>
      <c r="M153" s="16" t="s">
        <v>10</v>
      </c>
      <c r="N153" s="83" t="s">
        <v>10</v>
      </c>
      <c r="O153" s="4">
        <v>153</v>
      </c>
      <c r="P153" s="4">
        <v>11</v>
      </c>
      <c r="Q153" s="5">
        <v>34.4</v>
      </c>
      <c r="R153" s="2">
        <v>64</v>
      </c>
      <c r="HZ153" s="34"/>
    </row>
    <row r="154" spans="1:234" ht="15" customHeight="1">
      <c r="A154" s="67" t="s">
        <v>392</v>
      </c>
      <c r="B154" s="2">
        <v>2013</v>
      </c>
      <c r="C154" s="16" t="s">
        <v>605</v>
      </c>
      <c r="D154" s="1" t="s">
        <v>15</v>
      </c>
      <c r="E154" s="16" t="s">
        <v>393</v>
      </c>
      <c r="F154" s="16" t="s">
        <v>9</v>
      </c>
      <c r="G154" s="16" t="s">
        <v>391</v>
      </c>
      <c r="H154" s="16" t="s">
        <v>57</v>
      </c>
      <c r="I154" s="16" t="s">
        <v>394</v>
      </c>
      <c r="J154" s="16" t="s">
        <v>11</v>
      </c>
      <c r="K154" s="25" t="s">
        <v>398</v>
      </c>
      <c r="L154" s="16" t="s">
        <v>10</v>
      </c>
      <c r="M154" s="16" t="s">
        <v>10</v>
      </c>
      <c r="N154" s="83" t="s">
        <v>10</v>
      </c>
      <c r="O154" s="4">
        <v>67</v>
      </c>
      <c r="P154" s="4">
        <v>6</v>
      </c>
      <c r="Q154" s="5">
        <v>18.8</v>
      </c>
      <c r="R154" s="2">
        <v>64</v>
      </c>
      <c r="HZ154" s="34"/>
    </row>
    <row r="155" spans="1:234" ht="15" customHeight="1">
      <c r="A155" s="66" t="s">
        <v>38</v>
      </c>
      <c r="B155" s="2">
        <v>2016</v>
      </c>
      <c r="C155" s="1" t="s">
        <v>8</v>
      </c>
      <c r="D155" s="1" t="s">
        <v>413</v>
      </c>
      <c r="E155" s="1" t="s">
        <v>39</v>
      </c>
      <c r="F155" s="1" t="s">
        <v>9</v>
      </c>
      <c r="G155" s="1" t="s">
        <v>40</v>
      </c>
      <c r="H155" s="1" t="s">
        <v>22</v>
      </c>
      <c r="I155" s="1" t="s">
        <v>41</v>
      </c>
      <c r="J155" s="1" t="s">
        <v>16</v>
      </c>
      <c r="K155" s="3" t="s">
        <v>42</v>
      </c>
      <c r="L155" s="4">
        <v>88</v>
      </c>
      <c r="M155" s="4">
        <v>43</v>
      </c>
      <c r="N155" s="5">
        <v>48</v>
      </c>
      <c r="O155" s="4">
        <v>88</v>
      </c>
      <c r="P155" s="4">
        <v>18</v>
      </c>
      <c r="Q155" s="5">
        <v>20</v>
      </c>
      <c r="R155" s="2">
        <v>65</v>
      </c>
      <c r="HZ155" s="34"/>
    </row>
    <row r="156" spans="1:234" ht="15" customHeight="1">
      <c r="A156" s="66" t="s">
        <v>47</v>
      </c>
      <c r="B156" s="2">
        <v>2015</v>
      </c>
      <c r="C156" s="1" t="s">
        <v>13</v>
      </c>
      <c r="D156" s="1" t="s">
        <v>610</v>
      </c>
      <c r="E156" s="1" t="s">
        <v>48</v>
      </c>
      <c r="F156" s="1" t="s">
        <v>49</v>
      </c>
      <c r="G156" s="1" t="s">
        <v>50</v>
      </c>
      <c r="H156" s="16" t="s">
        <v>416</v>
      </c>
      <c r="I156" s="1" t="s">
        <v>51</v>
      </c>
      <c r="J156" s="1" t="s">
        <v>23</v>
      </c>
      <c r="K156" s="3" t="s">
        <v>52</v>
      </c>
      <c r="L156" s="1" t="s">
        <v>10</v>
      </c>
      <c r="M156" s="1" t="s">
        <v>10</v>
      </c>
      <c r="N156" s="5" t="s">
        <v>10</v>
      </c>
      <c r="O156" s="4">
        <f>225+918</f>
        <v>1143</v>
      </c>
      <c r="P156" s="4">
        <v>225</v>
      </c>
      <c r="Q156" s="5">
        <f t="shared" ref="Q156" si="9">100*P156/O156</f>
        <v>19.685039370078741</v>
      </c>
      <c r="R156" s="2">
        <v>66</v>
      </c>
      <c r="HZ156" s="34"/>
    </row>
    <row r="157" spans="1:234" ht="15" customHeight="1">
      <c r="A157" s="66" t="s">
        <v>54</v>
      </c>
      <c r="B157" s="2">
        <v>2015</v>
      </c>
      <c r="C157" s="1" t="s">
        <v>8</v>
      </c>
      <c r="D157" s="1" t="s">
        <v>408</v>
      </c>
      <c r="E157" s="1" t="s">
        <v>43</v>
      </c>
      <c r="F157" s="1" t="s">
        <v>55</v>
      </c>
      <c r="G157" s="1" t="s">
        <v>56</v>
      </c>
      <c r="H157" s="1" t="s">
        <v>57</v>
      </c>
      <c r="I157" s="1" t="s">
        <v>364</v>
      </c>
      <c r="J157" s="1" t="s">
        <v>11</v>
      </c>
      <c r="K157" s="3" t="s">
        <v>58</v>
      </c>
      <c r="L157" s="1" t="s">
        <v>10</v>
      </c>
      <c r="M157" s="1" t="s">
        <v>10</v>
      </c>
      <c r="N157" s="5" t="s">
        <v>10</v>
      </c>
      <c r="O157" s="4">
        <f>121+819</f>
        <v>940</v>
      </c>
      <c r="P157" s="4">
        <v>121</v>
      </c>
      <c r="Q157" s="5">
        <f>P157*100/O157</f>
        <v>12.872340425531915</v>
      </c>
      <c r="R157" s="2">
        <v>67</v>
      </c>
      <c r="HZ157" s="34"/>
    </row>
    <row r="158" spans="1:234" ht="15" customHeight="1">
      <c r="A158" s="66" t="s">
        <v>59</v>
      </c>
      <c r="B158" s="2">
        <v>2013</v>
      </c>
      <c r="C158" s="1" t="s">
        <v>13</v>
      </c>
      <c r="D158" s="1" t="s">
        <v>414</v>
      </c>
      <c r="E158" s="16" t="s">
        <v>67</v>
      </c>
      <c r="F158" s="1" t="s">
        <v>60</v>
      </c>
      <c r="G158" s="2">
        <v>2010</v>
      </c>
      <c r="H158" s="1" t="s">
        <v>22</v>
      </c>
      <c r="I158" s="1" t="s">
        <v>61</v>
      </c>
      <c r="J158" s="1" t="s">
        <v>16</v>
      </c>
      <c r="K158" s="3" t="s">
        <v>62</v>
      </c>
      <c r="L158" s="4">
        <v>3646</v>
      </c>
      <c r="M158" s="4">
        <f>N158*L158/100</f>
        <v>2949.614</v>
      </c>
      <c r="N158" s="5">
        <v>80.900000000000006</v>
      </c>
      <c r="O158" s="4">
        <v>3616</v>
      </c>
      <c r="P158" s="4">
        <f>Q158*O158/100</f>
        <v>357.98400000000004</v>
      </c>
      <c r="Q158" s="5">
        <v>9.9</v>
      </c>
      <c r="R158" s="2">
        <v>68</v>
      </c>
      <c r="HZ158" s="34"/>
    </row>
    <row r="159" spans="1:234" ht="15" customHeight="1">
      <c r="A159" s="66" t="s">
        <v>59</v>
      </c>
      <c r="B159" s="2">
        <v>2013</v>
      </c>
      <c r="C159" s="1" t="s">
        <v>13</v>
      </c>
      <c r="D159" s="1" t="s">
        <v>414</v>
      </c>
      <c r="E159" s="16" t="s">
        <v>67</v>
      </c>
      <c r="F159" s="1" t="s">
        <v>60</v>
      </c>
      <c r="G159" s="2">
        <v>2010</v>
      </c>
      <c r="H159" s="1" t="s">
        <v>22</v>
      </c>
      <c r="I159" s="1" t="s">
        <v>61</v>
      </c>
      <c r="J159" s="1" t="s">
        <v>16</v>
      </c>
      <c r="K159" s="3" t="s">
        <v>63</v>
      </c>
      <c r="L159" s="4">
        <v>1030</v>
      </c>
      <c r="M159" s="4">
        <f>N159*L159/100</f>
        <v>502.64</v>
      </c>
      <c r="N159" s="5">
        <v>48.8</v>
      </c>
      <c r="O159" s="4">
        <v>1030</v>
      </c>
      <c r="P159" s="4">
        <f>Q159*O159/100</f>
        <v>26.78</v>
      </c>
      <c r="Q159" s="5">
        <v>2.6</v>
      </c>
      <c r="R159" s="2">
        <v>68</v>
      </c>
      <c r="HZ159" s="34"/>
    </row>
    <row r="160" spans="1:234" ht="15" customHeight="1">
      <c r="A160" s="66" t="s">
        <v>59</v>
      </c>
      <c r="B160" s="2">
        <v>2013</v>
      </c>
      <c r="C160" s="1" t="s">
        <v>13</v>
      </c>
      <c r="D160" s="1" t="s">
        <v>414</v>
      </c>
      <c r="E160" s="16" t="s">
        <v>67</v>
      </c>
      <c r="F160" s="1" t="s">
        <v>60</v>
      </c>
      <c r="G160" s="2">
        <v>2010</v>
      </c>
      <c r="H160" s="1" t="s">
        <v>22</v>
      </c>
      <c r="I160" s="1" t="s">
        <v>61</v>
      </c>
      <c r="J160" s="1" t="s">
        <v>16</v>
      </c>
      <c r="K160" s="3" t="s">
        <v>64</v>
      </c>
      <c r="L160" s="4">
        <v>1719</v>
      </c>
      <c r="M160" s="4">
        <f>N160*L160/100</f>
        <v>1222.2089999999998</v>
      </c>
      <c r="N160" s="5">
        <v>71.099999999999994</v>
      </c>
      <c r="O160" s="4">
        <v>1719</v>
      </c>
      <c r="P160" s="4">
        <f>Q160*O160/100</f>
        <v>49.850999999999992</v>
      </c>
      <c r="Q160" s="5">
        <v>2.9</v>
      </c>
      <c r="R160" s="2">
        <v>68</v>
      </c>
      <c r="HZ160" s="34"/>
    </row>
    <row r="161" spans="1:234" ht="15" customHeight="1">
      <c r="A161" s="66" t="s">
        <v>59</v>
      </c>
      <c r="B161" s="2">
        <v>2013</v>
      </c>
      <c r="C161" s="1" t="s">
        <v>13</v>
      </c>
      <c r="D161" s="1" t="s">
        <v>414</v>
      </c>
      <c r="E161" s="16" t="s">
        <v>67</v>
      </c>
      <c r="F161" s="1" t="s">
        <v>60</v>
      </c>
      <c r="G161" s="2">
        <v>2010</v>
      </c>
      <c r="H161" s="1" t="s">
        <v>22</v>
      </c>
      <c r="I161" s="1" t="s">
        <v>61</v>
      </c>
      <c r="J161" s="1" t="s">
        <v>16</v>
      </c>
      <c r="K161" s="3" t="s">
        <v>65</v>
      </c>
      <c r="L161" s="4">
        <v>905</v>
      </c>
      <c r="M161" s="4">
        <f>N161*L161/100</f>
        <v>844.36500000000001</v>
      </c>
      <c r="N161" s="5">
        <v>93.3</v>
      </c>
      <c r="O161" s="4">
        <v>905</v>
      </c>
      <c r="P161" s="4">
        <f>Q161*O161/100</f>
        <v>130.32</v>
      </c>
      <c r="Q161" s="5">
        <v>14.4</v>
      </c>
      <c r="R161" s="2">
        <v>68</v>
      </c>
      <c r="HZ161" s="34"/>
    </row>
    <row r="162" spans="1:234" ht="15" customHeight="1">
      <c r="A162" s="66" t="s">
        <v>66</v>
      </c>
      <c r="B162" s="2">
        <v>2018</v>
      </c>
      <c r="C162" s="16" t="s">
        <v>607</v>
      </c>
      <c r="D162" s="1" t="s">
        <v>415</v>
      </c>
      <c r="E162" s="1" t="s">
        <v>67</v>
      </c>
      <c r="F162" s="1" t="s">
        <v>9</v>
      </c>
      <c r="G162" s="1" t="s">
        <v>68</v>
      </c>
      <c r="H162" s="1" t="s">
        <v>69</v>
      </c>
      <c r="I162" s="1" t="s">
        <v>365</v>
      </c>
      <c r="J162" s="1" t="s">
        <v>23</v>
      </c>
      <c r="K162" s="3" t="s">
        <v>70</v>
      </c>
      <c r="L162" s="1" t="s">
        <v>10</v>
      </c>
      <c r="M162" s="1" t="s">
        <v>10</v>
      </c>
      <c r="N162" s="5" t="s">
        <v>10</v>
      </c>
      <c r="O162" s="4">
        <f>1955+116</f>
        <v>2071</v>
      </c>
      <c r="P162" s="4">
        <v>116</v>
      </c>
      <c r="Q162" s="5">
        <f>100*P162/O162</f>
        <v>5.6011588604538867</v>
      </c>
      <c r="R162" s="2">
        <v>69</v>
      </c>
      <c r="HZ162" s="34"/>
    </row>
    <row r="163" spans="1:234" ht="15" customHeight="1">
      <c r="A163" s="66" t="s">
        <v>66</v>
      </c>
      <c r="B163" s="2">
        <v>2018</v>
      </c>
      <c r="C163" s="16" t="s">
        <v>607</v>
      </c>
      <c r="D163" s="1" t="s">
        <v>415</v>
      </c>
      <c r="E163" s="1" t="s">
        <v>67</v>
      </c>
      <c r="F163" s="1" t="s">
        <v>9</v>
      </c>
      <c r="G163" s="1" t="s">
        <v>68</v>
      </c>
      <c r="H163" s="1" t="s">
        <v>69</v>
      </c>
      <c r="I163" s="1" t="s">
        <v>365</v>
      </c>
      <c r="J163" s="1" t="s">
        <v>23</v>
      </c>
      <c r="K163" s="3" t="s">
        <v>71</v>
      </c>
      <c r="L163" s="1" t="s">
        <v>10</v>
      </c>
      <c r="M163" s="1" t="s">
        <v>10</v>
      </c>
      <c r="N163" s="5" t="s">
        <v>10</v>
      </c>
      <c r="O163" s="4">
        <v>150</v>
      </c>
      <c r="P163" s="4">
        <v>2</v>
      </c>
      <c r="Q163" s="5">
        <f t="shared" ref="Q163:Q170" si="10">P163*100/O163</f>
        <v>1.3333333333333333</v>
      </c>
      <c r="R163" s="2">
        <v>69</v>
      </c>
      <c r="HZ163" s="34"/>
    </row>
    <row r="164" spans="1:234" ht="15" customHeight="1">
      <c r="A164" s="66" t="s">
        <v>66</v>
      </c>
      <c r="B164" s="2">
        <v>2018</v>
      </c>
      <c r="C164" s="16" t="s">
        <v>607</v>
      </c>
      <c r="D164" s="1" t="s">
        <v>415</v>
      </c>
      <c r="E164" s="1" t="s">
        <v>67</v>
      </c>
      <c r="F164" s="1" t="s">
        <v>9</v>
      </c>
      <c r="G164" s="1" t="s">
        <v>68</v>
      </c>
      <c r="H164" s="1" t="s">
        <v>69</v>
      </c>
      <c r="I164" s="1" t="s">
        <v>365</v>
      </c>
      <c r="J164" s="1" t="s">
        <v>23</v>
      </c>
      <c r="K164" s="3" t="s">
        <v>26</v>
      </c>
      <c r="L164" s="1" t="s">
        <v>10</v>
      </c>
      <c r="M164" s="1" t="s">
        <v>10</v>
      </c>
      <c r="N164" s="5" t="s">
        <v>10</v>
      </c>
      <c r="O164" s="4">
        <v>150</v>
      </c>
      <c r="P164" s="4">
        <v>3</v>
      </c>
      <c r="Q164" s="5">
        <f t="shared" si="10"/>
        <v>2</v>
      </c>
      <c r="R164" s="2">
        <v>69</v>
      </c>
      <c r="HZ164" s="34"/>
    </row>
    <row r="165" spans="1:234" ht="15" customHeight="1">
      <c r="A165" s="66" t="s">
        <v>66</v>
      </c>
      <c r="B165" s="2">
        <v>2018</v>
      </c>
      <c r="C165" s="16" t="s">
        <v>607</v>
      </c>
      <c r="D165" s="1" t="s">
        <v>415</v>
      </c>
      <c r="E165" s="1" t="s">
        <v>67</v>
      </c>
      <c r="F165" s="1" t="s">
        <v>9</v>
      </c>
      <c r="G165" s="1" t="s">
        <v>68</v>
      </c>
      <c r="H165" s="1" t="s">
        <v>69</v>
      </c>
      <c r="I165" s="1" t="s">
        <v>365</v>
      </c>
      <c r="J165" s="1" t="s">
        <v>23</v>
      </c>
      <c r="K165" s="3" t="s">
        <v>27</v>
      </c>
      <c r="L165" s="1" t="s">
        <v>10</v>
      </c>
      <c r="M165" s="1" t="s">
        <v>10</v>
      </c>
      <c r="N165" s="5" t="s">
        <v>10</v>
      </c>
      <c r="O165" s="4">
        <v>150</v>
      </c>
      <c r="P165" s="4">
        <v>5</v>
      </c>
      <c r="Q165" s="5">
        <f t="shared" si="10"/>
        <v>3.3333333333333335</v>
      </c>
      <c r="R165" s="2">
        <v>69</v>
      </c>
      <c r="HZ165" s="34"/>
    </row>
    <row r="166" spans="1:234" ht="15" customHeight="1">
      <c r="A166" s="66" t="s">
        <v>66</v>
      </c>
      <c r="B166" s="2">
        <v>2018</v>
      </c>
      <c r="C166" s="16" t="s">
        <v>607</v>
      </c>
      <c r="D166" s="1" t="s">
        <v>415</v>
      </c>
      <c r="E166" s="1" t="s">
        <v>67</v>
      </c>
      <c r="F166" s="1" t="s">
        <v>9</v>
      </c>
      <c r="G166" s="1" t="s">
        <v>68</v>
      </c>
      <c r="H166" s="1" t="s">
        <v>69</v>
      </c>
      <c r="I166" s="1" t="s">
        <v>365</v>
      </c>
      <c r="J166" s="1" t="s">
        <v>23</v>
      </c>
      <c r="K166" s="3" t="s">
        <v>28</v>
      </c>
      <c r="L166" s="1" t="s">
        <v>10</v>
      </c>
      <c r="M166" s="1" t="s">
        <v>10</v>
      </c>
      <c r="N166" s="5" t="s">
        <v>10</v>
      </c>
      <c r="O166" s="4">
        <v>150</v>
      </c>
      <c r="P166" s="4">
        <v>5</v>
      </c>
      <c r="Q166" s="5">
        <f t="shared" si="10"/>
        <v>3.3333333333333335</v>
      </c>
      <c r="R166" s="2">
        <v>69</v>
      </c>
      <c r="HZ166" s="34"/>
    </row>
    <row r="167" spans="1:234" ht="15" customHeight="1">
      <c r="A167" s="66" t="s">
        <v>66</v>
      </c>
      <c r="B167" s="2">
        <v>2018</v>
      </c>
      <c r="C167" s="16" t="s">
        <v>607</v>
      </c>
      <c r="D167" s="1" t="s">
        <v>415</v>
      </c>
      <c r="E167" s="1" t="s">
        <v>67</v>
      </c>
      <c r="F167" s="1" t="s">
        <v>9</v>
      </c>
      <c r="G167" s="1" t="s">
        <v>68</v>
      </c>
      <c r="H167" s="1" t="s">
        <v>69</v>
      </c>
      <c r="I167" s="1" t="s">
        <v>365</v>
      </c>
      <c r="J167" s="1" t="s">
        <v>23</v>
      </c>
      <c r="K167" s="3" t="s">
        <v>72</v>
      </c>
      <c r="L167" s="1" t="s">
        <v>10</v>
      </c>
      <c r="M167" s="1" t="s">
        <v>10</v>
      </c>
      <c r="N167" s="5" t="s">
        <v>10</v>
      </c>
      <c r="O167" s="4">
        <v>150</v>
      </c>
      <c r="P167" s="4">
        <v>8</v>
      </c>
      <c r="Q167" s="5">
        <f t="shared" si="10"/>
        <v>5.333333333333333</v>
      </c>
      <c r="R167" s="2">
        <v>69</v>
      </c>
      <c r="HZ167" s="34"/>
    </row>
    <row r="168" spans="1:234" ht="15" customHeight="1">
      <c r="A168" s="66" t="s">
        <v>66</v>
      </c>
      <c r="B168" s="2">
        <v>2018</v>
      </c>
      <c r="C168" s="16" t="s">
        <v>607</v>
      </c>
      <c r="D168" s="1" t="s">
        <v>415</v>
      </c>
      <c r="E168" s="1" t="s">
        <v>67</v>
      </c>
      <c r="F168" s="1" t="s">
        <v>9</v>
      </c>
      <c r="G168" s="1" t="s">
        <v>68</v>
      </c>
      <c r="H168" s="1" t="s">
        <v>69</v>
      </c>
      <c r="I168" s="1" t="s">
        <v>365</v>
      </c>
      <c r="J168" s="1" t="s">
        <v>23</v>
      </c>
      <c r="K168" s="3" t="s">
        <v>73</v>
      </c>
      <c r="L168" s="1" t="s">
        <v>10</v>
      </c>
      <c r="M168" s="1" t="s">
        <v>10</v>
      </c>
      <c r="N168" s="5" t="s">
        <v>10</v>
      </c>
      <c r="O168" s="4">
        <v>150</v>
      </c>
      <c r="P168" s="4">
        <v>6</v>
      </c>
      <c r="Q168" s="5">
        <f t="shared" si="10"/>
        <v>4</v>
      </c>
      <c r="R168" s="2">
        <v>69</v>
      </c>
      <c r="HZ168" s="34"/>
    </row>
    <row r="169" spans="1:234" ht="15" customHeight="1">
      <c r="A169" s="66" t="s">
        <v>66</v>
      </c>
      <c r="B169" s="2">
        <v>2018</v>
      </c>
      <c r="C169" s="16" t="s">
        <v>607</v>
      </c>
      <c r="D169" s="1" t="s">
        <v>415</v>
      </c>
      <c r="E169" s="1" t="s">
        <v>67</v>
      </c>
      <c r="F169" s="1" t="s">
        <v>9</v>
      </c>
      <c r="G169" s="1" t="s">
        <v>68</v>
      </c>
      <c r="H169" s="1" t="s">
        <v>69</v>
      </c>
      <c r="I169" s="1" t="s">
        <v>365</v>
      </c>
      <c r="J169" s="1" t="s">
        <v>23</v>
      </c>
      <c r="K169" s="3" t="s">
        <v>74</v>
      </c>
      <c r="L169" s="1" t="s">
        <v>10</v>
      </c>
      <c r="M169" s="1" t="s">
        <v>10</v>
      </c>
      <c r="N169" s="5" t="s">
        <v>10</v>
      </c>
      <c r="O169" s="4">
        <v>139</v>
      </c>
      <c r="P169" s="4">
        <v>3</v>
      </c>
      <c r="Q169" s="5">
        <f t="shared" si="10"/>
        <v>2.1582733812949639</v>
      </c>
      <c r="R169" s="2">
        <v>69</v>
      </c>
      <c r="HZ169" s="34"/>
    </row>
    <row r="170" spans="1:234" ht="15" customHeight="1">
      <c r="A170" s="66" t="s">
        <v>66</v>
      </c>
      <c r="B170" s="2">
        <v>2018</v>
      </c>
      <c r="C170" s="16" t="s">
        <v>607</v>
      </c>
      <c r="D170" s="1" t="s">
        <v>415</v>
      </c>
      <c r="E170" s="1" t="s">
        <v>67</v>
      </c>
      <c r="F170" s="1" t="s">
        <v>9</v>
      </c>
      <c r="G170" s="1" t="s">
        <v>68</v>
      </c>
      <c r="H170" s="1" t="s">
        <v>69</v>
      </c>
      <c r="I170" s="1" t="s">
        <v>365</v>
      </c>
      <c r="J170" s="1" t="s">
        <v>23</v>
      </c>
      <c r="K170" s="3" t="s">
        <v>75</v>
      </c>
      <c r="L170" s="1" t="s">
        <v>10</v>
      </c>
      <c r="M170" s="1" t="s">
        <v>10</v>
      </c>
      <c r="N170" s="5" t="s">
        <v>10</v>
      </c>
      <c r="O170" s="4">
        <v>119</v>
      </c>
      <c r="P170" s="4">
        <v>9</v>
      </c>
      <c r="Q170" s="5">
        <f t="shared" si="10"/>
        <v>7.5630252100840334</v>
      </c>
      <c r="R170" s="2">
        <v>69</v>
      </c>
      <c r="HZ170" s="34"/>
    </row>
    <row r="171" spans="1:234" ht="15" customHeight="1">
      <c r="A171" s="66" t="s">
        <v>76</v>
      </c>
      <c r="B171" s="2">
        <v>2015</v>
      </c>
      <c r="C171" s="1" t="s">
        <v>8</v>
      </c>
      <c r="D171" s="1" t="s">
        <v>611</v>
      </c>
      <c r="E171" s="1" t="s">
        <v>67</v>
      </c>
      <c r="F171" s="1" t="s">
        <v>77</v>
      </c>
      <c r="G171" s="1" t="s">
        <v>78</v>
      </c>
      <c r="H171" s="16" t="s">
        <v>417</v>
      </c>
      <c r="I171" s="1" t="s">
        <v>79</v>
      </c>
      <c r="J171" s="1" t="s">
        <v>16</v>
      </c>
      <c r="K171" s="3" t="s">
        <v>80</v>
      </c>
      <c r="L171" s="4">
        <v>162</v>
      </c>
      <c r="M171" s="4">
        <v>120</v>
      </c>
      <c r="N171" s="5">
        <v>42.6</v>
      </c>
      <c r="O171" s="4">
        <v>271</v>
      </c>
      <c r="P171" s="4">
        <v>11</v>
      </c>
      <c r="Q171" s="5">
        <v>3.9</v>
      </c>
      <c r="R171" s="2">
        <v>70</v>
      </c>
      <c r="HZ171" s="34"/>
    </row>
    <row r="172" spans="1:234" ht="15" customHeight="1">
      <c r="A172" s="66" t="s">
        <v>81</v>
      </c>
      <c r="B172" s="2">
        <v>2014</v>
      </c>
      <c r="C172" s="1" t="s">
        <v>13</v>
      </c>
      <c r="D172" s="1" t="s">
        <v>610</v>
      </c>
      <c r="E172" s="1" t="s">
        <v>82</v>
      </c>
      <c r="F172" s="1" t="s">
        <v>9</v>
      </c>
      <c r="G172" s="1" t="s">
        <v>83</v>
      </c>
      <c r="H172" s="1" t="s">
        <v>57</v>
      </c>
      <c r="I172" s="1" t="s">
        <v>84</v>
      </c>
      <c r="J172" s="1" t="s">
        <v>11</v>
      </c>
      <c r="K172" s="3" t="s">
        <v>85</v>
      </c>
      <c r="L172" s="4">
        <f>9897+9096</f>
        <v>18993</v>
      </c>
      <c r="M172" s="4">
        <f>6839+5955</f>
        <v>12794</v>
      </c>
      <c r="N172" s="5">
        <f>100*M172/L172</f>
        <v>67.361659558784822</v>
      </c>
      <c r="O172" s="4">
        <v>18993</v>
      </c>
      <c r="P172" s="4">
        <f>2981+1480</f>
        <v>4461</v>
      </c>
      <c r="Q172" s="5">
        <f>100*P172/O172</f>
        <v>23.487600694992892</v>
      </c>
      <c r="R172" s="2">
        <v>71</v>
      </c>
      <c r="HZ172" s="34"/>
    </row>
    <row r="173" spans="1:234" ht="15" customHeight="1">
      <c r="A173" s="66" t="s">
        <v>81</v>
      </c>
      <c r="B173" s="2">
        <v>2014</v>
      </c>
      <c r="C173" s="1" t="s">
        <v>13</v>
      </c>
      <c r="D173" s="1" t="s">
        <v>610</v>
      </c>
      <c r="E173" s="1" t="s">
        <v>82</v>
      </c>
      <c r="F173" s="1" t="s">
        <v>9</v>
      </c>
      <c r="G173" s="1" t="s">
        <v>86</v>
      </c>
      <c r="H173" s="1" t="s">
        <v>57</v>
      </c>
      <c r="I173" s="1" t="s">
        <v>84</v>
      </c>
      <c r="J173" s="1" t="s">
        <v>11</v>
      </c>
      <c r="K173" s="3" t="s">
        <v>85</v>
      </c>
      <c r="L173" s="4">
        <v>9897</v>
      </c>
      <c r="M173" s="4">
        <v>6839</v>
      </c>
      <c r="N173" s="5">
        <f>100*M173/L173</f>
        <v>69.101748004445795</v>
      </c>
      <c r="O173" s="4">
        <v>9897</v>
      </c>
      <c r="P173" s="4">
        <v>2981</v>
      </c>
      <c r="Q173" s="5">
        <f>100*P173/O173</f>
        <v>30.120238456097809</v>
      </c>
      <c r="R173" s="2">
        <v>71</v>
      </c>
      <c r="HZ173" s="34"/>
    </row>
    <row r="174" spans="1:234" ht="15" customHeight="1">
      <c r="A174" s="66" t="s">
        <v>81</v>
      </c>
      <c r="B174" s="2">
        <v>2014</v>
      </c>
      <c r="C174" s="1" t="s">
        <v>13</v>
      </c>
      <c r="D174" s="1" t="s">
        <v>610</v>
      </c>
      <c r="E174" s="1" t="s">
        <v>82</v>
      </c>
      <c r="F174" s="1" t="s">
        <v>9</v>
      </c>
      <c r="G174" s="1" t="s">
        <v>87</v>
      </c>
      <c r="H174" s="1" t="s">
        <v>57</v>
      </c>
      <c r="I174" s="1" t="s">
        <v>84</v>
      </c>
      <c r="J174" s="1" t="s">
        <v>11</v>
      </c>
      <c r="K174" s="3" t="s">
        <v>85</v>
      </c>
      <c r="L174" s="4">
        <v>9096</v>
      </c>
      <c r="M174" s="4">
        <v>5955</v>
      </c>
      <c r="N174" s="5">
        <f>100*M174/L174</f>
        <v>65.468337730870715</v>
      </c>
      <c r="O174" s="4">
        <v>9096</v>
      </c>
      <c r="P174" s="4">
        <v>1480</v>
      </c>
      <c r="Q174" s="5">
        <f>100*P174/O174</f>
        <v>16.270888302550571</v>
      </c>
      <c r="R174" s="2">
        <v>71</v>
      </c>
      <c r="HZ174" s="34"/>
    </row>
    <row r="175" spans="1:234" ht="15" customHeight="1">
      <c r="A175" s="66" t="s">
        <v>90</v>
      </c>
      <c r="B175" s="2">
        <v>2017</v>
      </c>
      <c r="C175" s="1" t="s">
        <v>13</v>
      </c>
      <c r="D175" s="1" t="s">
        <v>409</v>
      </c>
      <c r="E175" s="1" t="s">
        <v>43</v>
      </c>
      <c r="F175" s="1" t="s">
        <v>91</v>
      </c>
      <c r="G175" s="2">
        <v>2012</v>
      </c>
      <c r="H175" s="1" t="s">
        <v>92</v>
      </c>
      <c r="I175" s="1" t="s">
        <v>93</v>
      </c>
      <c r="J175" s="1" t="s">
        <v>11</v>
      </c>
      <c r="K175" s="25" t="s">
        <v>619</v>
      </c>
      <c r="L175" s="1" t="s">
        <v>10</v>
      </c>
      <c r="M175" s="1" t="s">
        <v>10</v>
      </c>
      <c r="N175" s="5" t="s">
        <v>10</v>
      </c>
      <c r="O175" s="4">
        <v>925</v>
      </c>
      <c r="P175" s="4">
        <v>340</v>
      </c>
      <c r="Q175" s="5">
        <f t="shared" ref="Q175:Q180" si="11">P175*100/O175</f>
        <v>36.756756756756758</v>
      </c>
      <c r="R175" s="2">
        <v>72</v>
      </c>
      <c r="HZ175" s="34"/>
    </row>
    <row r="176" spans="1:234" ht="15" customHeight="1">
      <c r="A176" s="66" t="s">
        <v>90</v>
      </c>
      <c r="B176" s="2">
        <v>2017</v>
      </c>
      <c r="C176" s="1" t="s">
        <v>13</v>
      </c>
      <c r="D176" s="1" t="s">
        <v>409</v>
      </c>
      <c r="E176" s="1" t="s">
        <v>43</v>
      </c>
      <c r="F176" s="1" t="s">
        <v>91</v>
      </c>
      <c r="G176" s="2">
        <v>2012</v>
      </c>
      <c r="H176" s="1" t="s">
        <v>92</v>
      </c>
      <c r="I176" s="1" t="s">
        <v>93</v>
      </c>
      <c r="J176" s="1" t="s">
        <v>11</v>
      </c>
      <c r="K176" s="3" t="s">
        <v>45</v>
      </c>
      <c r="L176" s="1" t="s">
        <v>10</v>
      </c>
      <c r="M176" s="1" t="s">
        <v>10</v>
      </c>
      <c r="N176" s="5" t="s">
        <v>10</v>
      </c>
      <c r="O176" s="4">
        <v>135</v>
      </c>
      <c r="P176" s="4">
        <v>36</v>
      </c>
      <c r="Q176" s="5">
        <f t="shared" si="11"/>
        <v>26.666666666666668</v>
      </c>
      <c r="R176" s="2">
        <v>72</v>
      </c>
      <c r="HZ176" s="34"/>
    </row>
    <row r="177" spans="1:234" ht="15" customHeight="1">
      <c r="A177" s="66" t="s">
        <v>90</v>
      </c>
      <c r="B177" s="2">
        <v>2017</v>
      </c>
      <c r="C177" s="1" t="s">
        <v>13</v>
      </c>
      <c r="D177" s="1" t="s">
        <v>409</v>
      </c>
      <c r="E177" s="1" t="s">
        <v>43</v>
      </c>
      <c r="F177" s="1" t="s">
        <v>91</v>
      </c>
      <c r="G177" s="2">
        <v>2012</v>
      </c>
      <c r="H177" s="1" t="s">
        <v>92</v>
      </c>
      <c r="I177" s="1" t="s">
        <v>93</v>
      </c>
      <c r="J177" s="1" t="s">
        <v>11</v>
      </c>
      <c r="K177" s="3" t="s">
        <v>25</v>
      </c>
      <c r="L177" s="1" t="s">
        <v>10</v>
      </c>
      <c r="M177" s="1" t="s">
        <v>10</v>
      </c>
      <c r="N177" s="5" t="s">
        <v>10</v>
      </c>
      <c r="O177" s="4">
        <v>245</v>
      </c>
      <c r="P177" s="4">
        <v>88</v>
      </c>
      <c r="Q177" s="5">
        <f t="shared" si="11"/>
        <v>35.918367346938773</v>
      </c>
      <c r="R177" s="2">
        <v>72</v>
      </c>
      <c r="HZ177" s="34"/>
    </row>
    <row r="178" spans="1:234" ht="15" customHeight="1">
      <c r="A178" s="66" t="s">
        <v>90</v>
      </c>
      <c r="B178" s="2">
        <v>2017</v>
      </c>
      <c r="C178" s="1" t="s">
        <v>13</v>
      </c>
      <c r="D178" s="1" t="s">
        <v>409</v>
      </c>
      <c r="E178" s="1" t="s">
        <v>43</v>
      </c>
      <c r="F178" s="1" t="s">
        <v>91</v>
      </c>
      <c r="G178" s="2">
        <v>2012</v>
      </c>
      <c r="H178" s="1" t="s">
        <v>92</v>
      </c>
      <c r="I178" s="1" t="s">
        <v>93</v>
      </c>
      <c r="J178" s="1" t="s">
        <v>11</v>
      </c>
      <c r="K178" s="3" t="s">
        <v>26</v>
      </c>
      <c r="L178" s="1" t="s">
        <v>10</v>
      </c>
      <c r="M178" s="1" t="s">
        <v>10</v>
      </c>
      <c r="N178" s="5" t="s">
        <v>10</v>
      </c>
      <c r="O178" s="4">
        <v>256</v>
      </c>
      <c r="P178" s="4">
        <v>92</v>
      </c>
      <c r="Q178" s="5">
        <f t="shared" si="11"/>
        <v>35.9375</v>
      </c>
      <c r="R178" s="2">
        <v>72</v>
      </c>
      <c r="HZ178" s="34"/>
    </row>
    <row r="179" spans="1:234" ht="15" customHeight="1">
      <c r="A179" s="66" t="s">
        <v>90</v>
      </c>
      <c r="B179" s="2">
        <v>2017</v>
      </c>
      <c r="C179" s="1" t="s">
        <v>13</v>
      </c>
      <c r="D179" s="1" t="s">
        <v>409</v>
      </c>
      <c r="E179" s="1" t="s">
        <v>43</v>
      </c>
      <c r="F179" s="1" t="s">
        <v>91</v>
      </c>
      <c r="G179" s="2">
        <v>2012</v>
      </c>
      <c r="H179" s="1" t="s">
        <v>92</v>
      </c>
      <c r="I179" s="1" t="s">
        <v>93</v>
      </c>
      <c r="J179" s="1" t="s">
        <v>11</v>
      </c>
      <c r="K179" s="3" t="s">
        <v>27</v>
      </c>
      <c r="L179" s="1" t="s">
        <v>10</v>
      </c>
      <c r="M179" s="1" t="s">
        <v>10</v>
      </c>
      <c r="N179" s="5" t="s">
        <v>10</v>
      </c>
      <c r="O179" s="4">
        <v>173</v>
      </c>
      <c r="P179" s="4">
        <v>74</v>
      </c>
      <c r="Q179" s="5">
        <f t="shared" si="11"/>
        <v>42.774566473988436</v>
      </c>
      <c r="R179" s="2">
        <v>72</v>
      </c>
      <c r="HZ179" s="34"/>
    </row>
    <row r="180" spans="1:234" ht="15" customHeight="1">
      <c r="A180" s="66" t="s">
        <v>90</v>
      </c>
      <c r="B180" s="2">
        <v>2017</v>
      </c>
      <c r="C180" s="1" t="s">
        <v>13</v>
      </c>
      <c r="D180" s="1" t="s">
        <v>409</v>
      </c>
      <c r="E180" s="1" t="s">
        <v>43</v>
      </c>
      <c r="F180" s="1" t="s">
        <v>91</v>
      </c>
      <c r="G180" s="2">
        <v>2012</v>
      </c>
      <c r="H180" s="1" t="s">
        <v>92</v>
      </c>
      <c r="I180" s="1" t="s">
        <v>93</v>
      </c>
      <c r="J180" s="1" t="s">
        <v>11</v>
      </c>
      <c r="K180" s="3" t="s">
        <v>94</v>
      </c>
      <c r="L180" s="1" t="s">
        <v>10</v>
      </c>
      <c r="M180" s="1" t="s">
        <v>10</v>
      </c>
      <c r="N180" s="5" t="s">
        <v>10</v>
      </c>
      <c r="O180" s="4">
        <v>116</v>
      </c>
      <c r="P180" s="4">
        <v>50</v>
      </c>
      <c r="Q180" s="5">
        <f t="shared" si="11"/>
        <v>43.103448275862071</v>
      </c>
      <c r="R180" s="2">
        <v>72</v>
      </c>
      <c r="HZ180" s="34"/>
    </row>
    <row r="181" spans="1:234" ht="15" customHeight="1">
      <c r="A181" s="66" t="s">
        <v>95</v>
      </c>
      <c r="B181" s="2">
        <v>2017</v>
      </c>
      <c r="C181" s="1" t="s">
        <v>96</v>
      </c>
      <c r="D181" s="16" t="s">
        <v>608</v>
      </c>
      <c r="E181" s="1" t="s">
        <v>97</v>
      </c>
      <c r="F181" s="1" t="s">
        <v>98</v>
      </c>
      <c r="G181" s="1" t="s">
        <v>99</v>
      </c>
      <c r="H181" s="1" t="s">
        <v>100</v>
      </c>
      <c r="I181" s="1" t="s">
        <v>101</v>
      </c>
      <c r="J181" s="1" t="s">
        <v>16</v>
      </c>
      <c r="K181" s="3" t="s">
        <v>102</v>
      </c>
      <c r="L181" s="4">
        <v>434</v>
      </c>
      <c r="M181" s="4">
        <f>L181*N181/100</f>
        <v>91.14</v>
      </c>
      <c r="N181" s="5">
        <v>21</v>
      </c>
      <c r="O181" s="1" t="s">
        <v>10</v>
      </c>
      <c r="P181" s="1" t="s">
        <v>10</v>
      </c>
      <c r="Q181" s="5" t="s">
        <v>10</v>
      </c>
      <c r="R181" s="2">
        <v>73</v>
      </c>
      <c r="HZ181" s="34"/>
    </row>
    <row r="182" spans="1:234" ht="15" customHeight="1">
      <c r="A182" s="68" t="s">
        <v>103</v>
      </c>
      <c r="B182" s="11">
        <v>2018</v>
      </c>
      <c r="C182" s="12" t="s">
        <v>13</v>
      </c>
      <c r="D182" s="12" t="s">
        <v>402</v>
      </c>
      <c r="E182" s="12" t="s">
        <v>104</v>
      </c>
      <c r="F182" s="12" t="s">
        <v>9</v>
      </c>
      <c r="G182" s="12" t="s">
        <v>105</v>
      </c>
      <c r="H182" s="12" t="s">
        <v>106</v>
      </c>
      <c r="I182" s="12" t="s">
        <v>107</v>
      </c>
      <c r="J182" s="12" t="s">
        <v>11</v>
      </c>
      <c r="K182" s="13" t="s">
        <v>108</v>
      </c>
      <c r="L182" s="12" t="s">
        <v>10</v>
      </c>
      <c r="M182" s="12" t="s">
        <v>10</v>
      </c>
      <c r="N182" s="15" t="s">
        <v>10</v>
      </c>
      <c r="O182" s="14">
        <v>181</v>
      </c>
      <c r="P182" s="14">
        <v>55</v>
      </c>
      <c r="Q182" s="15">
        <v>29.7</v>
      </c>
      <c r="R182" s="11">
        <v>74</v>
      </c>
      <c r="HZ182" s="34"/>
    </row>
    <row r="183" spans="1:234" ht="15" customHeight="1">
      <c r="A183" s="66" t="s">
        <v>103</v>
      </c>
      <c r="B183" s="2">
        <v>2018</v>
      </c>
      <c r="C183" s="1" t="s">
        <v>13</v>
      </c>
      <c r="D183" s="12" t="s">
        <v>402</v>
      </c>
      <c r="E183" s="1" t="s">
        <v>104</v>
      </c>
      <c r="F183" s="1" t="s">
        <v>9</v>
      </c>
      <c r="G183" s="1" t="s">
        <v>105</v>
      </c>
      <c r="H183" s="1" t="s">
        <v>109</v>
      </c>
      <c r="I183" s="1" t="s">
        <v>107</v>
      </c>
      <c r="J183" s="1" t="s">
        <v>11</v>
      </c>
      <c r="K183" s="3" t="s">
        <v>110</v>
      </c>
      <c r="L183" s="1" t="s">
        <v>10</v>
      </c>
      <c r="M183" s="1" t="s">
        <v>10</v>
      </c>
      <c r="N183" s="5" t="s">
        <v>10</v>
      </c>
      <c r="O183" s="4">
        <v>130</v>
      </c>
      <c r="P183" s="4">
        <v>44</v>
      </c>
      <c r="Q183" s="5">
        <v>33.1</v>
      </c>
      <c r="R183" s="2">
        <v>74</v>
      </c>
      <c r="HZ183" s="34"/>
    </row>
    <row r="184" spans="1:234" ht="15" customHeight="1">
      <c r="A184" s="66" t="s">
        <v>111</v>
      </c>
      <c r="B184" s="2">
        <v>2015</v>
      </c>
      <c r="C184" s="16" t="s">
        <v>607</v>
      </c>
      <c r="D184" s="1" t="s">
        <v>412</v>
      </c>
      <c r="E184" s="1" t="s">
        <v>9</v>
      </c>
      <c r="F184" s="1" t="s">
        <v>9</v>
      </c>
      <c r="G184" s="1" t="s">
        <v>9</v>
      </c>
      <c r="H184" s="1" t="s">
        <v>368</v>
      </c>
      <c r="I184" s="1" t="s">
        <v>112</v>
      </c>
      <c r="J184" s="1" t="s">
        <v>16</v>
      </c>
      <c r="K184" s="3" t="s">
        <v>113</v>
      </c>
      <c r="L184" s="4">
        <v>612</v>
      </c>
      <c r="M184" s="4">
        <v>381</v>
      </c>
      <c r="N184" s="5">
        <v>62.2</v>
      </c>
      <c r="O184" s="1" t="s">
        <v>10</v>
      </c>
      <c r="P184" s="1" t="s">
        <v>10</v>
      </c>
      <c r="Q184" s="5" t="s">
        <v>10</v>
      </c>
      <c r="R184" s="2">
        <v>75</v>
      </c>
      <c r="HZ184" s="34"/>
    </row>
    <row r="185" spans="1:234" ht="15" customHeight="1">
      <c r="A185" s="66" t="s">
        <v>111</v>
      </c>
      <c r="B185" s="2">
        <v>2015</v>
      </c>
      <c r="C185" s="16" t="s">
        <v>607</v>
      </c>
      <c r="D185" s="1" t="s">
        <v>412</v>
      </c>
      <c r="E185" s="1" t="s">
        <v>9</v>
      </c>
      <c r="F185" s="1" t="s">
        <v>9</v>
      </c>
      <c r="G185" s="1" t="s">
        <v>9</v>
      </c>
      <c r="H185" s="1" t="s">
        <v>368</v>
      </c>
      <c r="I185" s="1" t="s">
        <v>112</v>
      </c>
      <c r="J185" s="1" t="s">
        <v>23</v>
      </c>
      <c r="K185" s="3" t="s">
        <v>113</v>
      </c>
      <c r="L185" s="4">
        <v>364</v>
      </c>
      <c r="M185" s="4">
        <v>220</v>
      </c>
      <c r="N185" s="5">
        <f>M185*100/L185</f>
        <v>60.439560439560438</v>
      </c>
      <c r="O185" s="1" t="s">
        <v>10</v>
      </c>
      <c r="P185" s="1" t="s">
        <v>10</v>
      </c>
      <c r="Q185" s="5" t="s">
        <v>10</v>
      </c>
      <c r="R185" s="2">
        <v>75</v>
      </c>
      <c r="HZ185" s="34"/>
    </row>
    <row r="186" spans="1:234" ht="15" customHeight="1">
      <c r="A186" s="66" t="s">
        <v>111</v>
      </c>
      <c r="B186" s="2">
        <v>2015</v>
      </c>
      <c r="C186" s="16" t="s">
        <v>607</v>
      </c>
      <c r="D186" s="1" t="s">
        <v>412</v>
      </c>
      <c r="E186" s="1" t="s">
        <v>9</v>
      </c>
      <c r="F186" s="1" t="s">
        <v>9</v>
      </c>
      <c r="G186" s="1" t="s">
        <v>9</v>
      </c>
      <c r="H186" s="1" t="s">
        <v>368</v>
      </c>
      <c r="I186" s="1" t="s">
        <v>112</v>
      </c>
      <c r="J186" s="1" t="s">
        <v>11</v>
      </c>
      <c r="K186" s="3" t="s">
        <v>113</v>
      </c>
      <c r="L186" s="4">
        <f>162+87</f>
        <v>249</v>
      </c>
      <c r="M186" s="4">
        <v>162</v>
      </c>
      <c r="N186" s="5">
        <f>M186*100/L186</f>
        <v>65.060240963855421</v>
      </c>
      <c r="O186" s="1" t="s">
        <v>10</v>
      </c>
      <c r="P186" s="1" t="s">
        <v>10</v>
      </c>
      <c r="Q186" s="5" t="s">
        <v>10</v>
      </c>
      <c r="R186" s="2">
        <v>75</v>
      </c>
      <c r="HZ186" s="34"/>
    </row>
    <row r="187" spans="1:234" ht="15" customHeight="1">
      <c r="A187" s="66" t="s">
        <v>114</v>
      </c>
      <c r="B187" s="2">
        <v>2017</v>
      </c>
      <c r="C187" s="1" t="s">
        <v>605</v>
      </c>
      <c r="D187" s="1" t="s">
        <v>115</v>
      </c>
      <c r="E187" s="1" t="s">
        <v>116</v>
      </c>
      <c r="F187" s="1" t="s">
        <v>117</v>
      </c>
      <c r="G187" s="1" t="s">
        <v>118</v>
      </c>
      <c r="H187" s="1" t="s">
        <v>520</v>
      </c>
      <c r="I187" s="1" t="s">
        <v>119</v>
      </c>
      <c r="J187" s="1" t="s">
        <v>11</v>
      </c>
      <c r="K187" s="3" t="s">
        <v>120</v>
      </c>
      <c r="L187" s="1" t="s">
        <v>10</v>
      </c>
      <c r="M187" s="1" t="s">
        <v>10</v>
      </c>
      <c r="N187" s="5" t="s">
        <v>10</v>
      </c>
      <c r="O187" s="4">
        <f>1137+1139</f>
        <v>2276</v>
      </c>
      <c r="P187" s="4">
        <f>360+332</f>
        <v>692</v>
      </c>
      <c r="Q187" s="5">
        <f>P187*100/O187</f>
        <v>30.404217926186291</v>
      </c>
      <c r="R187" s="2">
        <v>76</v>
      </c>
      <c r="HZ187" s="34"/>
    </row>
    <row r="188" spans="1:234" ht="15" customHeight="1">
      <c r="A188" s="66" t="s">
        <v>121</v>
      </c>
      <c r="B188" s="2">
        <v>2013</v>
      </c>
      <c r="C188" s="1" t="s">
        <v>13</v>
      </c>
      <c r="D188" s="1" t="s">
        <v>122</v>
      </c>
      <c r="E188" s="1" t="s">
        <v>67</v>
      </c>
      <c r="F188" s="1" t="s">
        <v>123</v>
      </c>
      <c r="G188" s="1" t="s">
        <v>124</v>
      </c>
      <c r="H188" s="1" t="s">
        <v>125</v>
      </c>
      <c r="I188" s="1" t="s">
        <v>84</v>
      </c>
      <c r="J188" s="1" t="s">
        <v>11</v>
      </c>
      <c r="K188" s="3" t="s">
        <v>120</v>
      </c>
      <c r="L188" s="4">
        <f t="shared" ref="L188" si="12">2694*0.953</f>
        <v>2567.3820000000001</v>
      </c>
      <c r="M188" s="4">
        <f t="shared" ref="M188" si="13">45*2694/100</f>
        <v>1212.3</v>
      </c>
      <c r="N188" s="5">
        <f>M188*100/L188</f>
        <v>47.219307450157395</v>
      </c>
      <c r="O188" s="4">
        <v>2567</v>
      </c>
      <c r="P188" s="4">
        <f t="shared" ref="P188" si="14">4.5*2694/100</f>
        <v>121.23</v>
      </c>
      <c r="Q188" s="5">
        <f>P188*100/O188</f>
        <v>4.7226334242306196</v>
      </c>
      <c r="R188" s="2">
        <v>77</v>
      </c>
      <c r="HZ188" s="34"/>
    </row>
    <row r="189" spans="1:234" ht="15" customHeight="1">
      <c r="A189" s="66" t="s">
        <v>121</v>
      </c>
      <c r="B189" s="2">
        <v>2013</v>
      </c>
      <c r="C189" s="1" t="s">
        <v>13</v>
      </c>
      <c r="D189" s="1" t="s">
        <v>122</v>
      </c>
      <c r="E189" s="1" t="s">
        <v>67</v>
      </c>
      <c r="F189" s="1" t="s">
        <v>123</v>
      </c>
      <c r="G189" s="1" t="s">
        <v>124</v>
      </c>
      <c r="H189" s="1" t="s">
        <v>125</v>
      </c>
      <c r="I189" s="1" t="s">
        <v>84</v>
      </c>
      <c r="J189" s="1" t="s">
        <v>11</v>
      </c>
      <c r="K189" s="3" t="s">
        <v>126</v>
      </c>
      <c r="L189" s="4">
        <v>1438</v>
      </c>
      <c r="M189" s="4">
        <f>N189*L189/100</f>
        <v>589.58000000000004</v>
      </c>
      <c r="N189" s="5">
        <v>41</v>
      </c>
      <c r="O189" s="4">
        <v>1438</v>
      </c>
      <c r="P189" s="4">
        <f>Q189*O189/100</f>
        <v>37.388000000000005</v>
      </c>
      <c r="Q189" s="5">
        <v>2.6</v>
      </c>
      <c r="R189" s="2">
        <v>77</v>
      </c>
      <c r="HZ189" s="34"/>
    </row>
    <row r="190" spans="1:234" ht="15" customHeight="1">
      <c r="A190" s="66" t="s">
        <v>121</v>
      </c>
      <c r="B190" s="2">
        <v>2013</v>
      </c>
      <c r="C190" s="1" t="s">
        <v>13</v>
      </c>
      <c r="D190" s="1" t="s">
        <v>122</v>
      </c>
      <c r="E190" s="1" t="s">
        <v>67</v>
      </c>
      <c r="F190" s="1" t="s">
        <v>123</v>
      </c>
      <c r="G190" s="1" t="s">
        <v>124</v>
      </c>
      <c r="H190" s="1" t="s">
        <v>125</v>
      </c>
      <c r="I190" s="1" t="s">
        <v>84</v>
      </c>
      <c r="J190" s="1" t="s">
        <v>11</v>
      </c>
      <c r="K190" s="3" t="s">
        <v>127</v>
      </c>
      <c r="L190" s="4">
        <v>785</v>
      </c>
      <c r="M190" s="4">
        <f>N190*L190/100</f>
        <v>376.8</v>
      </c>
      <c r="N190" s="5">
        <v>48</v>
      </c>
      <c r="O190" s="4">
        <v>785</v>
      </c>
      <c r="P190" s="4">
        <f>Q190*O190/100</f>
        <v>32.97</v>
      </c>
      <c r="Q190" s="5">
        <v>4.2</v>
      </c>
      <c r="R190" s="2">
        <v>77</v>
      </c>
      <c r="HZ190" s="34"/>
    </row>
    <row r="191" spans="1:234" ht="15" customHeight="1">
      <c r="A191" s="66" t="s">
        <v>121</v>
      </c>
      <c r="B191" s="2">
        <v>2013</v>
      </c>
      <c r="C191" s="1" t="s">
        <v>13</v>
      </c>
      <c r="D191" s="1" t="s">
        <v>122</v>
      </c>
      <c r="E191" s="1" t="s">
        <v>67</v>
      </c>
      <c r="F191" s="1" t="s">
        <v>123</v>
      </c>
      <c r="G191" s="1" t="s">
        <v>124</v>
      </c>
      <c r="H191" s="1" t="s">
        <v>125</v>
      </c>
      <c r="I191" s="1" t="s">
        <v>84</v>
      </c>
      <c r="J191" s="1" t="s">
        <v>11</v>
      </c>
      <c r="K191" s="25" t="s">
        <v>620</v>
      </c>
      <c r="L191" s="4">
        <v>471</v>
      </c>
      <c r="M191" s="4">
        <f>N191*L191/100</f>
        <v>240.21</v>
      </c>
      <c r="N191" s="5">
        <v>51</v>
      </c>
      <c r="O191" s="4">
        <v>471</v>
      </c>
      <c r="P191" s="4">
        <f>Q191*O191/100</f>
        <v>51.81</v>
      </c>
      <c r="Q191" s="5">
        <v>11</v>
      </c>
      <c r="R191" s="2">
        <v>77</v>
      </c>
      <c r="HZ191" s="34"/>
    </row>
    <row r="192" spans="1:234" ht="15" customHeight="1">
      <c r="A192" s="66" t="s">
        <v>129</v>
      </c>
      <c r="B192" s="2">
        <v>2017</v>
      </c>
      <c r="C192" s="1" t="s">
        <v>8</v>
      </c>
      <c r="D192" s="1" t="s">
        <v>403</v>
      </c>
      <c r="E192" s="1" t="s">
        <v>130</v>
      </c>
      <c r="F192" s="1" t="s">
        <v>9</v>
      </c>
      <c r="G192" s="1" t="s">
        <v>131</v>
      </c>
      <c r="H192" s="16" t="s">
        <v>418</v>
      </c>
      <c r="I192" s="1" t="s">
        <v>101</v>
      </c>
      <c r="J192" s="1" t="s">
        <v>16</v>
      </c>
      <c r="K192" s="3" t="s">
        <v>132</v>
      </c>
      <c r="L192" s="4">
        <v>180</v>
      </c>
      <c r="M192" s="4">
        <v>130</v>
      </c>
      <c r="N192" s="5">
        <v>72.2</v>
      </c>
      <c r="O192" s="4">
        <v>180</v>
      </c>
      <c r="P192" s="4">
        <v>51</v>
      </c>
      <c r="Q192" s="5">
        <v>28.3</v>
      </c>
      <c r="R192" s="2">
        <v>78</v>
      </c>
      <c r="HZ192" s="34"/>
    </row>
    <row r="193" spans="1:234" ht="15" customHeight="1">
      <c r="A193" s="66" t="s">
        <v>133</v>
      </c>
      <c r="B193" s="2">
        <v>2018</v>
      </c>
      <c r="C193" s="1" t="s">
        <v>8</v>
      </c>
      <c r="D193" s="1" t="s">
        <v>611</v>
      </c>
      <c r="E193" s="1" t="s">
        <v>134</v>
      </c>
      <c r="F193" s="1" t="s">
        <v>135</v>
      </c>
      <c r="G193" s="2">
        <v>2004</v>
      </c>
      <c r="H193" s="1" t="s">
        <v>22</v>
      </c>
      <c r="I193" s="1" t="s">
        <v>136</v>
      </c>
      <c r="J193" s="1" t="s">
        <v>16</v>
      </c>
      <c r="K193" s="3" t="s">
        <v>137</v>
      </c>
      <c r="L193" s="4">
        <f>440+272+320</f>
        <v>1032</v>
      </c>
      <c r="M193" s="4">
        <f>281+269+308</f>
        <v>858</v>
      </c>
      <c r="N193" s="5">
        <f>M193*100/L193</f>
        <v>83.139534883720927</v>
      </c>
      <c r="O193" s="4">
        <v>1032</v>
      </c>
      <c r="P193" s="4">
        <f>100+43+35</f>
        <v>178</v>
      </c>
      <c r="Q193" s="5">
        <f>P193*100/O193</f>
        <v>17.248062015503876</v>
      </c>
      <c r="R193" s="2">
        <v>79</v>
      </c>
      <c r="HZ193" s="34"/>
    </row>
    <row r="194" spans="1:234" ht="15" customHeight="1">
      <c r="A194" s="66" t="s">
        <v>138</v>
      </c>
      <c r="B194" s="2">
        <v>2015</v>
      </c>
      <c r="C194" s="1" t="s">
        <v>605</v>
      </c>
      <c r="D194" s="1" t="s">
        <v>15</v>
      </c>
      <c r="E194" s="1" t="s">
        <v>139</v>
      </c>
      <c r="F194" s="1" t="s">
        <v>9</v>
      </c>
      <c r="G194" s="1" t="s">
        <v>140</v>
      </c>
      <c r="H194" s="1" t="s">
        <v>22</v>
      </c>
      <c r="I194" s="1" t="s">
        <v>366</v>
      </c>
      <c r="J194" s="1" t="s">
        <v>16</v>
      </c>
      <c r="K194" s="3" t="s">
        <v>142</v>
      </c>
      <c r="L194" s="1" t="s">
        <v>10</v>
      </c>
      <c r="M194" s="1" t="s">
        <v>10</v>
      </c>
      <c r="N194" s="5" t="s">
        <v>10</v>
      </c>
      <c r="O194" s="4">
        <f>O195+O196</f>
        <v>8494</v>
      </c>
      <c r="P194" s="4">
        <f>P195+P196</f>
        <v>602</v>
      </c>
      <c r="Q194" s="5">
        <f>P194*100/O194</f>
        <v>7.0873557805509773</v>
      </c>
      <c r="R194" s="2">
        <v>80</v>
      </c>
      <c r="HZ194" s="34"/>
    </row>
    <row r="195" spans="1:234" ht="15" customHeight="1">
      <c r="A195" s="66" t="s">
        <v>138</v>
      </c>
      <c r="B195" s="2">
        <v>2015</v>
      </c>
      <c r="C195" s="1" t="s">
        <v>605</v>
      </c>
      <c r="D195" s="1" t="s">
        <v>15</v>
      </c>
      <c r="E195" s="1" t="s">
        <v>139</v>
      </c>
      <c r="F195" s="1" t="s">
        <v>9</v>
      </c>
      <c r="G195" s="1" t="s">
        <v>140</v>
      </c>
      <c r="H195" s="1" t="s">
        <v>22</v>
      </c>
      <c r="I195" s="1" t="s">
        <v>366</v>
      </c>
      <c r="J195" s="1" t="s">
        <v>11</v>
      </c>
      <c r="K195" s="3" t="s">
        <v>143</v>
      </c>
      <c r="L195" s="1" t="s">
        <v>10</v>
      </c>
      <c r="M195" s="1" t="s">
        <v>10</v>
      </c>
      <c r="N195" s="5" t="s">
        <v>10</v>
      </c>
      <c r="O195" s="4">
        <v>4358</v>
      </c>
      <c r="P195" s="4">
        <v>389</v>
      </c>
      <c r="Q195" s="5">
        <v>8.9</v>
      </c>
      <c r="R195" s="2">
        <v>80</v>
      </c>
      <c r="HZ195" s="34"/>
    </row>
    <row r="196" spans="1:234" ht="15" customHeight="1">
      <c r="A196" s="66" t="s">
        <v>138</v>
      </c>
      <c r="B196" s="2">
        <v>2015</v>
      </c>
      <c r="C196" s="1" t="s">
        <v>605</v>
      </c>
      <c r="D196" s="1" t="s">
        <v>15</v>
      </c>
      <c r="E196" s="1" t="s">
        <v>139</v>
      </c>
      <c r="F196" s="1" t="s">
        <v>9</v>
      </c>
      <c r="G196" s="1" t="s">
        <v>140</v>
      </c>
      <c r="H196" s="1" t="s">
        <v>22</v>
      </c>
      <c r="I196" s="1" t="s">
        <v>366</v>
      </c>
      <c r="J196" s="1" t="s">
        <v>23</v>
      </c>
      <c r="K196" s="3" t="s">
        <v>142</v>
      </c>
      <c r="L196" s="1" t="s">
        <v>10</v>
      </c>
      <c r="M196" s="1" t="s">
        <v>10</v>
      </c>
      <c r="N196" s="5" t="s">
        <v>10</v>
      </c>
      <c r="O196" s="4">
        <v>4136</v>
      </c>
      <c r="P196" s="4">
        <v>213</v>
      </c>
      <c r="Q196" s="5">
        <v>5.0999999999999996</v>
      </c>
      <c r="R196" s="2">
        <v>80</v>
      </c>
      <c r="HZ196" s="34"/>
    </row>
    <row r="197" spans="1:234" ht="15" customHeight="1">
      <c r="A197" s="66" t="s">
        <v>144</v>
      </c>
      <c r="B197" s="2">
        <v>2016</v>
      </c>
      <c r="C197" s="1" t="s">
        <v>13</v>
      </c>
      <c r="D197" s="1" t="s">
        <v>610</v>
      </c>
      <c r="E197" s="1" t="s">
        <v>145</v>
      </c>
      <c r="F197" s="1" t="s">
        <v>9</v>
      </c>
      <c r="G197" s="1" t="s">
        <v>146</v>
      </c>
      <c r="H197" s="1" t="s">
        <v>57</v>
      </c>
      <c r="I197" s="1" t="s">
        <v>101</v>
      </c>
      <c r="J197" s="1" t="s">
        <v>11</v>
      </c>
      <c r="K197" s="25" t="s">
        <v>661</v>
      </c>
      <c r="L197" s="4">
        <v>247</v>
      </c>
      <c r="M197" s="4">
        <f>N197*L197/100</f>
        <v>142.76599999999999</v>
      </c>
      <c r="N197" s="5">
        <v>57.8</v>
      </c>
      <c r="O197" s="4">
        <v>247</v>
      </c>
      <c r="P197" s="4">
        <v>49</v>
      </c>
      <c r="Q197" s="5">
        <v>22</v>
      </c>
      <c r="R197" s="2">
        <v>81</v>
      </c>
      <c r="HZ197" s="34"/>
    </row>
    <row r="198" spans="1:234" ht="15" customHeight="1">
      <c r="A198" s="66" t="s">
        <v>148</v>
      </c>
      <c r="B198" s="2">
        <v>2018</v>
      </c>
      <c r="C198" s="16" t="s">
        <v>607</v>
      </c>
      <c r="D198" s="1" t="s">
        <v>405</v>
      </c>
      <c r="E198" s="1" t="s">
        <v>149</v>
      </c>
      <c r="F198" s="1" t="s">
        <v>9</v>
      </c>
      <c r="G198" s="2">
        <v>2012</v>
      </c>
      <c r="H198" s="1" t="s">
        <v>150</v>
      </c>
      <c r="I198" s="1" t="s">
        <v>151</v>
      </c>
      <c r="J198" s="1" t="s">
        <v>16</v>
      </c>
      <c r="K198" s="3" t="s">
        <v>152</v>
      </c>
      <c r="L198" s="1" t="s">
        <v>10</v>
      </c>
      <c r="M198" s="1" t="s">
        <v>10</v>
      </c>
      <c r="N198" s="5" t="s">
        <v>10</v>
      </c>
      <c r="O198" s="4">
        <v>546</v>
      </c>
      <c r="P198" s="4">
        <f>Q198*O198/100</f>
        <v>89.980800000000002</v>
      </c>
      <c r="Q198" s="5">
        <v>16.48</v>
      </c>
      <c r="R198" s="2">
        <v>82</v>
      </c>
      <c r="HZ198" s="34"/>
    </row>
    <row r="199" spans="1:234" ht="15" customHeight="1">
      <c r="A199" s="66" t="s">
        <v>148</v>
      </c>
      <c r="B199" s="2">
        <v>2018</v>
      </c>
      <c r="C199" s="16" t="s">
        <v>607</v>
      </c>
      <c r="D199" s="1" t="s">
        <v>405</v>
      </c>
      <c r="E199" s="1" t="s">
        <v>149</v>
      </c>
      <c r="F199" s="1" t="s">
        <v>9</v>
      </c>
      <c r="G199" s="2">
        <v>2012</v>
      </c>
      <c r="H199" s="1" t="s">
        <v>150</v>
      </c>
      <c r="I199" s="16" t="s">
        <v>639</v>
      </c>
      <c r="J199" s="1" t="s">
        <v>23</v>
      </c>
      <c r="K199" s="3" t="s">
        <v>152</v>
      </c>
      <c r="L199" s="1" t="s">
        <v>10</v>
      </c>
      <c r="M199" s="1" t="s">
        <v>10</v>
      </c>
      <c r="N199" s="5" t="s">
        <v>10</v>
      </c>
      <c r="O199" s="4">
        <v>468</v>
      </c>
      <c r="P199" s="4">
        <f>Q199*O199/100</f>
        <v>73.007999999999996</v>
      </c>
      <c r="Q199" s="5">
        <v>15.6</v>
      </c>
      <c r="R199" s="2">
        <v>82</v>
      </c>
      <c r="HZ199" s="34"/>
    </row>
    <row r="200" spans="1:234" ht="15" customHeight="1">
      <c r="A200" s="66" t="s">
        <v>148</v>
      </c>
      <c r="B200" s="2">
        <v>2018</v>
      </c>
      <c r="C200" s="16" t="s">
        <v>607</v>
      </c>
      <c r="D200" s="1" t="s">
        <v>405</v>
      </c>
      <c r="E200" s="1" t="s">
        <v>149</v>
      </c>
      <c r="F200" s="1" t="s">
        <v>9</v>
      </c>
      <c r="G200" s="2">
        <v>2012</v>
      </c>
      <c r="H200" s="1" t="s">
        <v>150</v>
      </c>
      <c r="I200" s="16" t="s">
        <v>639</v>
      </c>
      <c r="J200" s="1" t="s">
        <v>11</v>
      </c>
      <c r="K200" s="3" t="s">
        <v>152</v>
      </c>
      <c r="L200" s="1" t="s">
        <v>10</v>
      </c>
      <c r="M200" s="1" t="s">
        <v>10</v>
      </c>
      <c r="N200" s="5" t="s">
        <v>10</v>
      </c>
      <c r="O200" s="4">
        <v>78</v>
      </c>
      <c r="P200" s="4">
        <f>Q200*O200/100</f>
        <v>16.996199999999998</v>
      </c>
      <c r="Q200" s="5">
        <v>21.79</v>
      </c>
      <c r="R200" s="2">
        <v>82</v>
      </c>
      <c r="HZ200" s="34"/>
    </row>
    <row r="201" spans="1:234" ht="15" customHeight="1">
      <c r="A201" s="69" t="s">
        <v>153</v>
      </c>
      <c r="B201" s="2">
        <v>2016</v>
      </c>
      <c r="C201" s="1" t="s">
        <v>8</v>
      </c>
      <c r="D201" s="1" t="s">
        <v>611</v>
      </c>
      <c r="E201" s="1" t="s">
        <v>154</v>
      </c>
      <c r="F201" s="1" t="s">
        <v>155</v>
      </c>
      <c r="G201" s="1" t="s">
        <v>156</v>
      </c>
      <c r="H201" s="1" t="s">
        <v>157</v>
      </c>
      <c r="I201" s="1" t="s">
        <v>158</v>
      </c>
      <c r="J201" s="1" t="s">
        <v>16</v>
      </c>
      <c r="K201" s="3" t="s">
        <v>159</v>
      </c>
      <c r="L201" s="4">
        <v>4420</v>
      </c>
      <c r="M201" s="4">
        <v>871</v>
      </c>
      <c r="N201" s="5">
        <v>20</v>
      </c>
      <c r="O201" s="1" t="s">
        <v>10</v>
      </c>
      <c r="P201" s="1" t="s">
        <v>10</v>
      </c>
      <c r="Q201" s="5" t="s">
        <v>10</v>
      </c>
      <c r="R201" s="2">
        <v>83</v>
      </c>
      <c r="HZ201" s="34"/>
    </row>
    <row r="202" spans="1:234" ht="15" customHeight="1">
      <c r="A202" s="69" t="s">
        <v>153</v>
      </c>
      <c r="B202" s="16" t="s">
        <v>432</v>
      </c>
      <c r="C202" s="1" t="s">
        <v>8</v>
      </c>
      <c r="D202" s="1" t="s">
        <v>611</v>
      </c>
      <c r="E202" s="1" t="s">
        <v>154</v>
      </c>
      <c r="F202" s="1" t="s">
        <v>155</v>
      </c>
      <c r="G202" s="1" t="s">
        <v>156</v>
      </c>
      <c r="H202" s="1" t="s">
        <v>157</v>
      </c>
      <c r="I202" s="1" t="s">
        <v>158</v>
      </c>
      <c r="J202" s="1" t="s">
        <v>11</v>
      </c>
      <c r="K202" s="3" t="s">
        <v>160</v>
      </c>
      <c r="L202" s="4">
        <f>3592+877-1855-450</f>
        <v>2164</v>
      </c>
      <c r="M202" s="4">
        <f>877-450</f>
        <v>427</v>
      </c>
      <c r="N202" s="5">
        <f>M202*100/L202</f>
        <v>19.731977818853974</v>
      </c>
      <c r="O202" s="1" t="s">
        <v>10</v>
      </c>
      <c r="P202" s="1" t="s">
        <v>10</v>
      </c>
      <c r="Q202" s="5" t="s">
        <v>10</v>
      </c>
      <c r="R202" s="2">
        <v>83</v>
      </c>
      <c r="HZ202" s="34"/>
    </row>
    <row r="203" spans="1:234" ht="15" customHeight="1">
      <c r="A203" s="69" t="s">
        <v>153</v>
      </c>
      <c r="B203" s="16" t="s">
        <v>432</v>
      </c>
      <c r="C203" s="1" t="s">
        <v>8</v>
      </c>
      <c r="D203" s="1" t="s">
        <v>611</v>
      </c>
      <c r="E203" s="1" t="s">
        <v>154</v>
      </c>
      <c r="F203" s="1" t="s">
        <v>155</v>
      </c>
      <c r="G203" s="1" t="s">
        <v>156</v>
      </c>
      <c r="H203" s="1" t="s">
        <v>157</v>
      </c>
      <c r="I203" s="1" t="s">
        <v>158</v>
      </c>
      <c r="J203" s="1" t="s">
        <v>23</v>
      </c>
      <c r="K203" s="3" t="s">
        <v>161</v>
      </c>
      <c r="L203" s="4">
        <f>1855+450</f>
        <v>2305</v>
      </c>
      <c r="M203" s="4">
        <v>450</v>
      </c>
      <c r="N203" s="5">
        <f>M203*100/L203</f>
        <v>19.522776572668114</v>
      </c>
      <c r="O203" s="1" t="s">
        <v>10</v>
      </c>
      <c r="P203" s="1" t="s">
        <v>10</v>
      </c>
      <c r="Q203" s="5" t="s">
        <v>10</v>
      </c>
      <c r="R203" s="2">
        <v>83</v>
      </c>
      <c r="HZ203" s="34"/>
    </row>
    <row r="204" spans="1:234" ht="15" customHeight="1">
      <c r="A204" s="66" t="s">
        <v>162</v>
      </c>
      <c r="B204" s="1" t="s">
        <v>163</v>
      </c>
      <c r="C204" s="1" t="s">
        <v>8</v>
      </c>
      <c r="D204" s="1" t="s">
        <v>611</v>
      </c>
      <c r="E204" s="1" t="s">
        <v>164</v>
      </c>
      <c r="F204" s="1" t="s">
        <v>165</v>
      </c>
      <c r="G204" s="1" t="s">
        <v>166</v>
      </c>
      <c r="H204" s="1" t="s">
        <v>167</v>
      </c>
      <c r="I204" s="1" t="s">
        <v>364</v>
      </c>
      <c r="J204" s="1" t="s">
        <v>16</v>
      </c>
      <c r="K204" s="3" t="s">
        <v>168</v>
      </c>
      <c r="L204" s="4">
        <v>1220</v>
      </c>
      <c r="M204" s="4">
        <v>301</v>
      </c>
      <c r="N204" s="5">
        <v>24.7</v>
      </c>
      <c r="O204" s="4">
        <v>1220</v>
      </c>
      <c r="P204" s="4">
        <v>13</v>
      </c>
      <c r="Q204" s="5">
        <v>1.1000000000000001</v>
      </c>
      <c r="R204" s="16" t="s">
        <v>646</v>
      </c>
      <c r="HZ204" s="34"/>
    </row>
    <row r="205" spans="1:234" ht="15" customHeight="1">
      <c r="A205" s="66" t="s">
        <v>169</v>
      </c>
      <c r="B205" s="1" t="s">
        <v>170</v>
      </c>
      <c r="C205" s="1" t="s">
        <v>8</v>
      </c>
      <c r="D205" s="1" t="s">
        <v>404</v>
      </c>
      <c r="E205" s="1" t="s">
        <v>171</v>
      </c>
      <c r="F205" s="1" t="s">
        <v>172</v>
      </c>
      <c r="G205" s="1" t="s">
        <v>173</v>
      </c>
      <c r="H205" s="1" t="s">
        <v>174</v>
      </c>
      <c r="I205" s="1" t="s">
        <v>175</v>
      </c>
      <c r="J205" s="1" t="s">
        <v>16</v>
      </c>
      <c r="K205" s="3" t="s">
        <v>176</v>
      </c>
      <c r="L205" s="4">
        <v>674</v>
      </c>
      <c r="M205" s="4">
        <v>24</v>
      </c>
      <c r="N205" s="5">
        <v>3.6</v>
      </c>
      <c r="O205" s="4">
        <v>674</v>
      </c>
      <c r="P205" s="4">
        <v>10</v>
      </c>
      <c r="Q205" s="5">
        <v>1.5</v>
      </c>
      <c r="R205" s="16" t="s">
        <v>647</v>
      </c>
      <c r="HZ205" s="34"/>
    </row>
    <row r="206" spans="1:234" ht="15" customHeight="1">
      <c r="A206" s="66" t="s">
        <v>177</v>
      </c>
      <c r="B206" s="2">
        <v>2016</v>
      </c>
      <c r="C206" s="1" t="s">
        <v>13</v>
      </c>
      <c r="D206" s="1" t="s">
        <v>610</v>
      </c>
      <c r="E206" s="1" t="s">
        <v>178</v>
      </c>
      <c r="F206" s="1" t="s">
        <v>179</v>
      </c>
      <c r="G206" s="2">
        <v>2010</v>
      </c>
      <c r="H206" s="1" t="s">
        <v>180</v>
      </c>
      <c r="I206" s="1" t="s">
        <v>181</v>
      </c>
      <c r="J206" s="1" t="s">
        <v>11</v>
      </c>
      <c r="K206" s="3" t="s">
        <v>182</v>
      </c>
      <c r="L206" s="1" t="s">
        <v>10</v>
      </c>
      <c r="M206" s="1" t="s">
        <v>10</v>
      </c>
      <c r="N206" s="5" t="s">
        <v>10</v>
      </c>
      <c r="O206" s="4">
        <v>213</v>
      </c>
      <c r="P206" s="4">
        <f>O206*Q206/100</f>
        <v>187.44</v>
      </c>
      <c r="Q206" s="5">
        <v>88</v>
      </c>
      <c r="R206" s="2">
        <v>90</v>
      </c>
      <c r="HZ206" s="34"/>
    </row>
    <row r="207" spans="1:234" ht="15" customHeight="1">
      <c r="A207" s="66" t="s">
        <v>183</v>
      </c>
      <c r="B207" s="2">
        <v>2017</v>
      </c>
      <c r="C207" s="1" t="s">
        <v>8</v>
      </c>
      <c r="D207" s="1" t="s">
        <v>401</v>
      </c>
      <c r="E207" s="1" t="s">
        <v>43</v>
      </c>
      <c r="F207" s="1" t="s">
        <v>184</v>
      </c>
      <c r="G207" s="1" t="s">
        <v>185</v>
      </c>
      <c r="H207" s="1" t="s">
        <v>22</v>
      </c>
      <c r="I207" s="1" t="s">
        <v>186</v>
      </c>
      <c r="J207" s="1" t="s">
        <v>187</v>
      </c>
      <c r="K207" s="3" t="s">
        <v>188</v>
      </c>
      <c r="L207" s="4">
        <v>6627</v>
      </c>
      <c r="M207" s="4">
        <f>N207*L207/100</f>
        <v>5215.4490000000005</v>
      </c>
      <c r="N207" s="5">
        <v>78.7</v>
      </c>
      <c r="O207" s="4">
        <v>5013</v>
      </c>
      <c r="P207" s="4">
        <f>Q207*O207/100</f>
        <v>471.22200000000004</v>
      </c>
      <c r="Q207" s="5">
        <v>9.4</v>
      </c>
      <c r="R207" s="2">
        <v>91</v>
      </c>
      <c r="HZ207" s="34"/>
    </row>
    <row r="208" spans="1:234" ht="15" customHeight="1">
      <c r="A208" s="66" t="s">
        <v>183</v>
      </c>
      <c r="B208" s="2">
        <v>2017</v>
      </c>
      <c r="C208" s="1" t="s">
        <v>8</v>
      </c>
      <c r="D208" s="1" t="s">
        <v>401</v>
      </c>
      <c r="E208" s="1" t="s">
        <v>43</v>
      </c>
      <c r="F208" s="1" t="s">
        <v>184</v>
      </c>
      <c r="G208" s="1" t="s">
        <v>185</v>
      </c>
      <c r="H208" s="1" t="s">
        <v>22</v>
      </c>
      <c r="I208" s="1" t="s">
        <v>186</v>
      </c>
      <c r="J208" s="1" t="s">
        <v>187</v>
      </c>
      <c r="K208" s="3" t="s">
        <v>35</v>
      </c>
      <c r="L208" s="4">
        <f t="shared" ref="L208:M213" si="15">L215+L222</f>
        <v>572</v>
      </c>
      <c r="M208" s="4">
        <f t="shared" si="15"/>
        <v>267.42</v>
      </c>
      <c r="N208" s="5">
        <f t="shared" ref="N208:N213" si="16">M208*100/L208</f>
        <v>46.751748251748253</v>
      </c>
      <c r="O208" s="4">
        <f t="shared" ref="O208:P213" si="17">O215+O222</f>
        <v>449</v>
      </c>
      <c r="P208" s="4">
        <f t="shared" si="17"/>
        <v>7.2039999999999997</v>
      </c>
      <c r="Q208" s="5">
        <f t="shared" ref="Q208:Q213" si="18">P208*100/O208</f>
        <v>1.6044543429844098</v>
      </c>
      <c r="R208" s="2">
        <v>91</v>
      </c>
      <c r="HZ208" s="34"/>
    </row>
    <row r="209" spans="1:234" ht="15" customHeight="1">
      <c r="A209" s="66" t="s">
        <v>183</v>
      </c>
      <c r="B209" s="2">
        <v>2017</v>
      </c>
      <c r="C209" s="1" t="s">
        <v>8</v>
      </c>
      <c r="D209" s="1" t="s">
        <v>401</v>
      </c>
      <c r="E209" s="1" t="s">
        <v>43</v>
      </c>
      <c r="F209" s="1" t="s">
        <v>184</v>
      </c>
      <c r="G209" s="1" t="s">
        <v>185</v>
      </c>
      <c r="H209" s="1" t="s">
        <v>22</v>
      </c>
      <c r="I209" s="1" t="s">
        <v>186</v>
      </c>
      <c r="J209" s="1" t="s">
        <v>187</v>
      </c>
      <c r="K209" s="3" t="s">
        <v>189</v>
      </c>
      <c r="L209" s="4">
        <f t="shared" si="15"/>
        <v>764</v>
      </c>
      <c r="M209" s="4">
        <f t="shared" si="15"/>
        <v>516.38</v>
      </c>
      <c r="N209" s="5">
        <f t="shared" si="16"/>
        <v>67.589005235602087</v>
      </c>
      <c r="O209" s="4">
        <f t="shared" si="17"/>
        <v>510</v>
      </c>
      <c r="P209" s="4">
        <f t="shared" si="17"/>
        <v>25.175999999999998</v>
      </c>
      <c r="Q209" s="5">
        <f t="shared" si="18"/>
        <v>4.9364705882352942</v>
      </c>
      <c r="R209" s="2">
        <v>91</v>
      </c>
      <c r="HZ209" s="34"/>
    </row>
    <row r="210" spans="1:234" ht="15" customHeight="1">
      <c r="A210" s="66" t="s">
        <v>183</v>
      </c>
      <c r="B210" s="2">
        <v>2017</v>
      </c>
      <c r="C210" s="1" t="s">
        <v>8</v>
      </c>
      <c r="D210" s="1" t="s">
        <v>401</v>
      </c>
      <c r="E210" s="1" t="s">
        <v>43</v>
      </c>
      <c r="F210" s="1" t="s">
        <v>184</v>
      </c>
      <c r="G210" s="1" t="s">
        <v>185</v>
      </c>
      <c r="H210" s="1" t="s">
        <v>22</v>
      </c>
      <c r="I210" s="1" t="s">
        <v>186</v>
      </c>
      <c r="J210" s="1" t="s">
        <v>187</v>
      </c>
      <c r="K210" s="3" t="s">
        <v>190</v>
      </c>
      <c r="L210" s="4">
        <f t="shared" si="15"/>
        <v>967</v>
      </c>
      <c r="M210" s="4">
        <f t="shared" si="15"/>
        <v>753.80000000000007</v>
      </c>
      <c r="N210" s="5">
        <f t="shared" si="16"/>
        <v>77.952430196483974</v>
      </c>
      <c r="O210" s="4">
        <f t="shared" si="17"/>
        <v>748</v>
      </c>
      <c r="P210" s="4">
        <f t="shared" si="17"/>
        <v>61.323999999999998</v>
      </c>
      <c r="Q210" s="5">
        <f t="shared" si="18"/>
        <v>8.1983957219251327</v>
      </c>
      <c r="R210" s="2">
        <v>91</v>
      </c>
      <c r="HZ210" s="34"/>
    </row>
    <row r="211" spans="1:234" ht="15" customHeight="1">
      <c r="A211" s="66" t="s">
        <v>183</v>
      </c>
      <c r="B211" s="2">
        <v>2017</v>
      </c>
      <c r="C211" s="1" t="s">
        <v>8</v>
      </c>
      <c r="D211" s="1" t="s">
        <v>401</v>
      </c>
      <c r="E211" s="1" t="s">
        <v>43</v>
      </c>
      <c r="F211" s="1" t="s">
        <v>184</v>
      </c>
      <c r="G211" s="1" t="s">
        <v>185</v>
      </c>
      <c r="H211" s="1" t="s">
        <v>22</v>
      </c>
      <c r="I211" s="1" t="s">
        <v>186</v>
      </c>
      <c r="J211" s="1" t="s">
        <v>187</v>
      </c>
      <c r="K211" s="3" t="s">
        <v>191</v>
      </c>
      <c r="L211" s="4">
        <f t="shared" si="15"/>
        <v>1341</v>
      </c>
      <c r="M211" s="4">
        <f t="shared" si="15"/>
        <v>1126.7339999999999</v>
      </c>
      <c r="N211" s="5">
        <f t="shared" si="16"/>
        <v>84.021923937360171</v>
      </c>
      <c r="O211" s="4">
        <f t="shared" si="17"/>
        <v>1012</v>
      </c>
      <c r="P211" s="4">
        <f t="shared" si="17"/>
        <v>130.97300000000001</v>
      </c>
      <c r="Q211" s="5">
        <f t="shared" si="18"/>
        <v>12.94199604743083</v>
      </c>
      <c r="R211" s="2">
        <v>91</v>
      </c>
      <c r="HZ211" s="34"/>
    </row>
    <row r="212" spans="1:234" ht="15" customHeight="1">
      <c r="A212" s="66" t="s">
        <v>183</v>
      </c>
      <c r="B212" s="2">
        <v>2017</v>
      </c>
      <c r="C212" s="1" t="s">
        <v>8</v>
      </c>
      <c r="D212" s="1" t="s">
        <v>401</v>
      </c>
      <c r="E212" s="1" t="s">
        <v>43</v>
      </c>
      <c r="F212" s="1" t="s">
        <v>184</v>
      </c>
      <c r="G212" s="1" t="s">
        <v>185</v>
      </c>
      <c r="H212" s="1" t="s">
        <v>22</v>
      </c>
      <c r="I212" s="1" t="s">
        <v>186</v>
      </c>
      <c r="J212" s="1" t="s">
        <v>187</v>
      </c>
      <c r="K212" s="3" t="s">
        <v>192</v>
      </c>
      <c r="L212" s="4">
        <f t="shared" si="15"/>
        <v>1189</v>
      </c>
      <c r="M212" s="4">
        <f t="shared" si="15"/>
        <v>1058.5210000000002</v>
      </c>
      <c r="N212" s="5">
        <f t="shared" si="16"/>
        <v>89.026156433978144</v>
      </c>
      <c r="O212" s="4">
        <f t="shared" si="17"/>
        <v>879</v>
      </c>
      <c r="P212" s="4">
        <f t="shared" si="17"/>
        <v>119.107</v>
      </c>
      <c r="Q212" s="5">
        <f t="shared" si="18"/>
        <v>13.55028441410694</v>
      </c>
      <c r="R212" s="2">
        <v>91</v>
      </c>
      <c r="HZ212" s="34"/>
    </row>
    <row r="213" spans="1:234" ht="15" customHeight="1">
      <c r="A213" s="66" t="s">
        <v>183</v>
      </c>
      <c r="B213" s="2">
        <v>2017</v>
      </c>
      <c r="C213" s="1" t="s">
        <v>8</v>
      </c>
      <c r="D213" s="1" t="s">
        <v>401</v>
      </c>
      <c r="E213" s="1" t="s">
        <v>43</v>
      </c>
      <c r="F213" s="1" t="s">
        <v>184</v>
      </c>
      <c r="G213" s="1" t="s">
        <v>185</v>
      </c>
      <c r="H213" s="1" t="s">
        <v>22</v>
      </c>
      <c r="I213" s="1" t="s">
        <v>186</v>
      </c>
      <c r="J213" s="1" t="s">
        <v>187</v>
      </c>
      <c r="K213" s="25" t="s">
        <v>662</v>
      </c>
      <c r="L213" s="4">
        <f t="shared" si="15"/>
        <v>1794</v>
      </c>
      <c r="M213" s="4">
        <f t="shared" si="15"/>
        <v>1647.739</v>
      </c>
      <c r="N213" s="5">
        <f t="shared" si="16"/>
        <v>91.847212931995543</v>
      </c>
      <c r="O213" s="4">
        <f t="shared" si="17"/>
        <v>1365</v>
      </c>
      <c r="P213" s="4">
        <f t="shared" si="17"/>
        <v>158.99</v>
      </c>
      <c r="Q213" s="5">
        <f t="shared" si="18"/>
        <v>11.647619047619047</v>
      </c>
      <c r="R213" s="2">
        <v>91</v>
      </c>
      <c r="HZ213" s="34"/>
    </row>
    <row r="214" spans="1:234" ht="15" customHeight="1">
      <c r="A214" s="66" t="s">
        <v>183</v>
      </c>
      <c r="B214" s="2">
        <v>2017</v>
      </c>
      <c r="C214" s="1" t="s">
        <v>8</v>
      </c>
      <c r="D214" s="1" t="s">
        <v>401</v>
      </c>
      <c r="E214" s="1" t="s">
        <v>43</v>
      </c>
      <c r="F214" s="1" t="s">
        <v>184</v>
      </c>
      <c r="G214" s="1" t="s">
        <v>185</v>
      </c>
      <c r="H214" s="1" t="s">
        <v>22</v>
      </c>
      <c r="I214" s="1" t="s">
        <v>186</v>
      </c>
      <c r="J214" s="1" t="s">
        <v>11</v>
      </c>
      <c r="K214" s="3" t="s">
        <v>188</v>
      </c>
      <c r="L214" s="4">
        <f>SUM(L215:L220)</f>
        <v>3441</v>
      </c>
      <c r="M214" s="4">
        <f t="shared" ref="M214:M227" si="19">N214*L214/100</f>
        <v>2821.62</v>
      </c>
      <c r="N214" s="5">
        <v>82</v>
      </c>
      <c r="O214" s="4">
        <f>SUM(O215:O220)</f>
        <v>2535</v>
      </c>
      <c r="P214" s="4">
        <f t="shared" ref="P214:P227" si="20">Q214*O214/100</f>
        <v>296.59500000000003</v>
      </c>
      <c r="Q214" s="5">
        <v>11.7</v>
      </c>
      <c r="R214" s="2">
        <v>91</v>
      </c>
      <c r="HZ214" s="34"/>
    </row>
    <row r="215" spans="1:234" ht="15" customHeight="1">
      <c r="A215" s="66" t="s">
        <v>183</v>
      </c>
      <c r="B215" s="2">
        <v>2017</v>
      </c>
      <c r="C215" s="1" t="s">
        <v>8</v>
      </c>
      <c r="D215" s="1" t="s">
        <v>401</v>
      </c>
      <c r="E215" s="1" t="s">
        <v>43</v>
      </c>
      <c r="F215" s="1" t="s">
        <v>184</v>
      </c>
      <c r="G215" s="1" t="s">
        <v>185</v>
      </c>
      <c r="H215" s="1" t="s">
        <v>22</v>
      </c>
      <c r="I215" s="1" t="s">
        <v>186</v>
      </c>
      <c r="J215" s="1" t="s">
        <v>11</v>
      </c>
      <c r="K215" s="3" t="s">
        <v>35</v>
      </c>
      <c r="L215" s="4">
        <v>283</v>
      </c>
      <c r="M215" s="4">
        <f t="shared" si="19"/>
        <v>145.46199999999999</v>
      </c>
      <c r="N215" s="5">
        <v>51.4</v>
      </c>
      <c r="O215" s="4">
        <v>227</v>
      </c>
      <c r="P215" s="4">
        <f t="shared" si="20"/>
        <v>4.54</v>
      </c>
      <c r="Q215" s="5">
        <v>2</v>
      </c>
      <c r="R215" s="2">
        <v>91</v>
      </c>
      <c r="HZ215" s="34"/>
    </row>
    <row r="216" spans="1:234" ht="15" customHeight="1">
      <c r="A216" s="66" t="s">
        <v>183</v>
      </c>
      <c r="B216" s="2">
        <v>2017</v>
      </c>
      <c r="C216" s="1" t="s">
        <v>8</v>
      </c>
      <c r="D216" s="1" t="s">
        <v>401</v>
      </c>
      <c r="E216" s="1" t="s">
        <v>43</v>
      </c>
      <c r="F216" s="1" t="s">
        <v>184</v>
      </c>
      <c r="G216" s="1" t="s">
        <v>185</v>
      </c>
      <c r="H216" s="1" t="s">
        <v>22</v>
      </c>
      <c r="I216" s="1" t="s">
        <v>186</v>
      </c>
      <c r="J216" s="1" t="s">
        <v>11</v>
      </c>
      <c r="K216" s="3" t="s">
        <v>189</v>
      </c>
      <c r="L216" s="4">
        <v>400</v>
      </c>
      <c r="M216" s="4">
        <f t="shared" si="19"/>
        <v>281.60000000000002</v>
      </c>
      <c r="N216" s="5">
        <v>70.400000000000006</v>
      </c>
      <c r="O216" s="4">
        <v>227</v>
      </c>
      <c r="P216" s="4">
        <f t="shared" si="20"/>
        <v>17.251999999999999</v>
      </c>
      <c r="Q216" s="5">
        <v>7.6</v>
      </c>
      <c r="R216" s="2">
        <v>91</v>
      </c>
      <c r="HZ216" s="34"/>
    </row>
    <row r="217" spans="1:234" ht="15" customHeight="1">
      <c r="A217" s="69" t="s">
        <v>183</v>
      </c>
      <c r="B217" s="2">
        <v>2017</v>
      </c>
      <c r="C217" s="1" t="s">
        <v>8</v>
      </c>
      <c r="D217" s="1" t="s">
        <v>401</v>
      </c>
      <c r="E217" s="1" t="s">
        <v>43</v>
      </c>
      <c r="F217" s="1" t="s">
        <v>184</v>
      </c>
      <c r="G217" s="1" t="s">
        <v>185</v>
      </c>
      <c r="H217" s="1" t="s">
        <v>22</v>
      </c>
      <c r="I217" s="1" t="s">
        <v>186</v>
      </c>
      <c r="J217" s="1" t="s">
        <v>11</v>
      </c>
      <c r="K217" s="3" t="s">
        <v>190</v>
      </c>
      <c r="L217" s="4">
        <v>519</v>
      </c>
      <c r="M217" s="4">
        <f t="shared" si="19"/>
        <v>427.65600000000006</v>
      </c>
      <c r="N217" s="5">
        <v>82.4</v>
      </c>
      <c r="O217" s="4">
        <v>405</v>
      </c>
      <c r="P217" s="4">
        <f t="shared" si="20"/>
        <v>46.575000000000003</v>
      </c>
      <c r="Q217" s="5">
        <v>11.5</v>
      </c>
      <c r="R217" s="2">
        <v>91</v>
      </c>
      <c r="HZ217" s="34"/>
    </row>
    <row r="218" spans="1:234" ht="15" customHeight="1">
      <c r="A218" s="69" t="s">
        <v>183</v>
      </c>
      <c r="B218" s="2">
        <v>2017</v>
      </c>
      <c r="C218" s="1" t="s">
        <v>8</v>
      </c>
      <c r="D218" s="1" t="s">
        <v>401</v>
      </c>
      <c r="E218" s="1" t="s">
        <v>43</v>
      </c>
      <c r="F218" s="1" t="s">
        <v>184</v>
      </c>
      <c r="G218" s="1" t="s">
        <v>185</v>
      </c>
      <c r="H218" s="1" t="s">
        <v>22</v>
      </c>
      <c r="I218" s="1" t="s">
        <v>186</v>
      </c>
      <c r="J218" s="1" t="s">
        <v>11</v>
      </c>
      <c r="K218" s="3" t="s">
        <v>191</v>
      </c>
      <c r="L218" s="4">
        <v>714</v>
      </c>
      <c r="M218" s="4">
        <f t="shared" si="19"/>
        <v>617.61</v>
      </c>
      <c r="N218" s="5">
        <v>86.5</v>
      </c>
      <c r="O218" s="4">
        <v>535</v>
      </c>
      <c r="P218" s="4">
        <f t="shared" si="20"/>
        <v>86.135000000000005</v>
      </c>
      <c r="Q218" s="5">
        <v>16.100000000000001</v>
      </c>
      <c r="R218" s="2">
        <v>91</v>
      </c>
      <c r="HZ218" s="34"/>
    </row>
    <row r="219" spans="1:234" ht="15" customHeight="1">
      <c r="A219" s="69" t="s">
        <v>183</v>
      </c>
      <c r="B219" s="2">
        <v>2017</v>
      </c>
      <c r="C219" s="1" t="s">
        <v>8</v>
      </c>
      <c r="D219" s="1" t="s">
        <v>401</v>
      </c>
      <c r="E219" s="1" t="s">
        <v>43</v>
      </c>
      <c r="F219" s="1" t="s">
        <v>184</v>
      </c>
      <c r="G219" s="1" t="s">
        <v>185</v>
      </c>
      <c r="H219" s="1" t="s">
        <v>22</v>
      </c>
      <c r="I219" s="1" t="s">
        <v>186</v>
      </c>
      <c r="J219" s="1" t="s">
        <v>11</v>
      </c>
      <c r="K219" s="3" t="s">
        <v>192</v>
      </c>
      <c r="L219" s="4">
        <v>630</v>
      </c>
      <c r="M219" s="4">
        <f t="shared" si="19"/>
        <v>578.34</v>
      </c>
      <c r="N219" s="5">
        <v>91.8</v>
      </c>
      <c r="O219" s="4">
        <v>461</v>
      </c>
      <c r="P219" s="4">
        <f t="shared" si="20"/>
        <v>71.454999999999998</v>
      </c>
      <c r="Q219" s="5">
        <v>15.5</v>
      </c>
      <c r="R219" s="2">
        <v>91</v>
      </c>
      <c r="HZ219" s="34"/>
    </row>
    <row r="220" spans="1:234" ht="15" customHeight="1">
      <c r="A220" s="69" t="s">
        <v>183</v>
      </c>
      <c r="B220" s="2">
        <v>2017</v>
      </c>
      <c r="C220" s="1" t="s">
        <v>8</v>
      </c>
      <c r="D220" s="1" t="s">
        <v>401</v>
      </c>
      <c r="E220" s="1" t="s">
        <v>43</v>
      </c>
      <c r="F220" s="1" t="s">
        <v>184</v>
      </c>
      <c r="G220" s="1" t="s">
        <v>185</v>
      </c>
      <c r="H220" s="1" t="s">
        <v>22</v>
      </c>
      <c r="I220" s="1" t="s">
        <v>186</v>
      </c>
      <c r="J220" s="1" t="s">
        <v>11</v>
      </c>
      <c r="K220" s="25" t="s">
        <v>662</v>
      </c>
      <c r="L220" s="4">
        <v>895</v>
      </c>
      <c r="M220" s="4">
        <f t="shared" si="19"/>
        <v>833.245</v>
      </c>
      <c r="N220" s="5">
        <v>93.1</v>
      </c>
      <c r="O220" s="4">
        <v>680</v>
      </c>
      <c r="P220" s="4">
        <f t="shared" si="20"/>
        <v>83.64</v>
      </c>
      <c r="Q220" s="5">
        <v>12.3</v>
      </c>
      <c r="R220" s="2">
        <v>91</v>
      </c>
      <c r="HZ220" s="34"/>
    </row>
    <row r="221" spans="1:234" ht="15" customHeight="1">
      <c r="A221" s="69" t="s">
        <v>183</v>
      </c>
      <c r="B221" s="2">
        <v>2017</v>
      </c>
      <c r="C221" s="1" t="s">
        <v>8</v>
      </c>
      <c r="D221" s="1" t="s">
        <v>401</v>
      </c>
      <c r="E221" s="1" t="s">
        <v>43</v>
      </c>
      <c r="F221" s="1" t="s">
        <v>184</v>
      </c>
      <c r="G221" s="1" t="s">
        <v>185</v>
      </c>
      <c r="H221" s="1" t="s">
        <v>22</v>
      </c>
      <c r="I221" s="1" t="s">
        <v>186</v>
      </c>
      <c r="J221" s="1" t="s">
        <v>23</v>
      </c>
      <c r="K221" s="3" t="s">
        <v>188</v>
      </c>
      <c r="L221" s="4">
        <f>SUM(L222:L227)</f>
        <v>3186</v>
      </c>
      <c r="M221" s="4">
        <f t="shared" si="19"/>
        <v>2402.2440000000001</v>
      </c>
      <c r="N221" s="5">
        <v>75.400000000000006</v>
      </c>
      <c r="O221" s="4">
        <f>SUM(O222:O227)</f>
        <v>2428</v>
      </c>
      <c r="P221" s="4">
        <f t="shared" si="20"/>
        <v>174.81600000000003</v>
      </c>
      <c r="Q221" s="5">
        <v>7.2</v>
      </c>
      <c r="R221" s="2">
        <v>91</v>
      </c>
      <c r="HZ221" s="34"/>
    </row>
    <row r="222" spans="1:234" ht="15" customHeight="1">
      <c r="A222" s="69" t="s">
        <v>183</v>
      </c>
      <c r="B222" s="2">
        <v>2017</v>
      </c>
      <c r="C222" s="1" t="s">
        <v>8</v>
      </c>
      <c r="D222" s="1" t="s">
        <v>401</v>
      </c>
      <c r="E222" s="1" t="s">
        <v>43</v>
      </c>
      <c r="F222" s="1" t="s">
        <v>184</v>
      </c>
      <c r="G222" s="1" t="s">
        <v>185</v>
      </c>
      <c r="H222" s="1" t="s">
        <v>22</v>
      </c>
      <c r="I222" s="1" t="s">
        <v>186</v>
      </c>
      <c r="J222" s="1" t="s">
        <v>23</v>
      </c>
      <c r="K222" s="3" t="s">
        <v>35</v>
      </c>
      <c r="L222" s="4">
        <v>289</v>
      </c>
      <c r="M222" s="4">
        <f t="shared" si="19"/>
        <v>121.95800000000001</v>
      </c>
      <c r="N222" s="5">
        <v>42.2</v>
      </c>
      <c r="O222" s="4">
        <v>222</v>
      </c>
      <c r="P222" s="4">
        <f t="shared" si="20"/>
        <v>2.6639999999999997</v>
      </c>
      <c r="Q222" s="5">
        <v>1.2</v>
      </c>
      <c r="R222" s="2">
        <v>91</v>
      </c>
      <c r="HZ222" s="34"/>
    </row>
    <row r="223" spans="1:234" ht="15" customHeight="1">
      <c r="A223" s="69" t="s">
        <v>183</v>
      </c>
      <c r="B223" s="2">
        <v>2017</v>
      </c>
      <c r="C223" s="1" t="s">
        <v>8</v>
      </c>
      <c r="D223" s="1" t="s">
        <v>401</v>
      </c>
      <c r="E223" s="1" t="s">
        <v>43</v>
      </c>
      <c r="F223" s="1" t="s">
        <v>184</v>
      </c>
      <c r="G223" s="1" t="s">
        <v>185</v>
      </c>
      <c r="H223" s="1" t="s">
        <v>22</v>
      </c>
      <c r="I223" s="1" t="s">
        <v>186</v>
      </c>
      <c r="J223" s="1" t="s">
        <v>23</v>
      </c>
      <c r="K223" s="3" t="s">
        <v>189</v>
      </c>
      <c r="L223" s="4">
        <v>364</v>
      </c>
      <c r="M223" s="4">
        <f t="shared" si="19"/>
        <v>234.78</v>
      </c>
      <c r="N223" s="5">
        <v>64.5</v>
      </c>
      <c r="O223" s="4">
        <v>283</v>
      </c>
      <c r="P223" s="4">
        <f t="shared" si="20"/>
        <v>7.9239999999999995</v>
      </c>
      <c r="Q223" s="5">
        <v>2.8</v>
      </c>
      <c r="R223" s="2">
        <v>91</v>
      </c>
      <c r="HZ223" s="34"/>
    </row>
    <row r="224" spans="1:234" ht="15" customHeight="1">
      <c r="A224" s="69" t="s">
        <v>183</v>
      </c>
      <c r="B224" s="2">
        <v>2017</v>
      </c>
      <c r="C224" s="1" t="s">
        <v>8</v>
      </c>
      <c r="D224" s="1" t="s">
        <v>401</v>
      </c>
      <c r="E224" s="1" t="s">
        <v>43</v>
      </c>
      <c r="F224" s="1" t="s">
        <v>184</v>
      </c>
      <c r="G224" s="1" t="s">
        <v>185</v>
      </c>
      <c r="H224" s="1" t="s">
        <v>22</v>
      </c>
      <c r="I224" s="1" t="s">
        <v>186</v>
      </c>
      <c r="J224" s="1" t="s">
        <v>23</v>
      </c>
      <c r="K224" s="3" t="s">
        <v>190</v>
      </c>
      <c r="L224" s="4">
        <v>448</v>
      </c>
      <c r="M224" s="4">
        <f t="shared" si="19"/>
        <v>326.14400000000001</v>
      </c>
      <c r="N224" s="5">
        <v>72.8</v>
      </c>
      <c r="O224" s="4">
        <v>343</v>
      </c>
      <c r="P224" s="4">
        <f t="shared" si="20"/>
        <v>14.748999999999999</v>
      </c>
      <c r="Q224" s="5">
        <v>4.3</v>
      </c>
      <c r="R224" s="2">
        <v>91</v>
      </c>
      <c r="HZ224" s="34"/>
    </row>
    <row r="225" spans="1:234" ht="15" customHeight="1">
      <c r="A225" s="69" t="s">
        <v>183</v>
      </c>
      <c r="B225" s="2">
        <v>2017</v>
      </c>
      <c r="C225" s="1" t="s">
        <v>8</v>
      </c>
      <c r="D225" s="1" t="s">
        <v>401</v>
      </c>
      <c r="E225" s="1" t="s">
        <v>43</v>
      </c>
      <c r="F225" s="1" t="s">
        <v>184</v>
      </c>
      <c r="G225" s="1" t="s">
        <v>185</v>
      </c>
      <c r="H225" s="1" t="s">
        <v>22</v>
      </c>
      <c r="I225" s="1" t="s">
        <v>186</v>
      </c>
      <c r="J225" s="1" t="s">
        <v>23</v>
      </c>
      <c r="K225" s="3" t="s">
        <v>191</v>
      </c>
      <c r="L225" s="4">
        <v>627</v>
      </c>
      <c r="M225" s="4">
        <f t="shared" si="19"/>
        <v>509.12400000000002</v>
      </c>
      <c r="N225" s="5">
        <v>81.2</v>
      </c>
      <c r="O225" s="4">
        <v>477</v>
      </c>
      <c r="P225" s="4">
        <f t="shared" si="20"/>
        <v>44.838000000000001</v>
      </c>
      <c r="Q225" s="5">
        <v>9.4</v>
      </c>
      <c r="R225" s="2">
        <v>91</v>
      </c>
      <c r="HZ225" s="34"/>
    </row>
    <row r="226" spans="1:234" ht="15" customHeight="1">
      <c r="A226" s="69" t="s">
        <v>183</v>
      </c>
      <c r="B226" s="2">
        <v>2017</v>
      </c>
      <c r="C226" s="1" t="s">
        <v>8</v>
      </c>
      <c r="D226" s="1" t="s">
        <v>401</v>
      </c>
      <c r="E226" s="1" t="s">
        <v>43</v>
      </c>
      <c r="F226" s="1" t="s">
        <v>184</v>
      </c>
      <c r="G226" s="1" t="s">
        <v>185</v>
      </c>
      <c r="H226" s="1" t="s">
        <v>22</v>
      </c>
      <c r="I226" s="1" t="s">
        <v>186</v>
      </c>
      <c r="J226" s="1" t="s">
        <v>23</v>
      </c>
      <c r="K226" s="3" t="s">
        <v>192</v>
      </c>
      <c r="L226" s="4">
        <v>559</v>
      </c>
      <c r="M226" s="4">
        <f t="shared" si="19"/>
        <v>480.18100000000004</v>
      </c>
      <c r="N226" s="5">
        <v>85.9</v>
      </c>
      <c r="O226" s="4">
        <v>418</v>
      </c>
      <c r="P226" s="4">
        <f t="shared" si="20"/>
        <v>47.652000000000001</v>
      </c>
      <c r="Q226" s="5">
        <v>11.4</v>
      </c>
      <c r="R226" s="2">
        <v>91</v>
      </c>
      <c r="HZ226" s="34"/>
    </row>
    <row r="227" spans="1:234" ht="15" customHeight="1">
      <c r="A227" s="69" t="s">
        <v>183</v>
      </c>
      <c r="B227" s="2">
        <v>2017</v>
      </c>
      <c r="C227" s="1" t="s">
        <v>8</v>
      </c>
      <c r="D227" s="1" t="s">
        <v>401</v>
      </c>
      <c r="E227" s="1" t="s">
        <v>43</v>
      </c>
      <c r="F227" s="1" t="s">
        <v>184</v>
      </c>
      <c r="G227" s="1" t="s">
        <v>185</v>
      </c>
      <c r="H227" s="1" t="s">
        <v>22</v>
      </c>
      <c r="I227" s="1" t="s">
        <v>186</v>
      </c>
      <c r="J227" s="1" t="s">
        <v>23</v>
      </c>
      <c r="K227" s="25" t="s">
        <v>662</v>
      </c>
      <c r="L227" s="4">
        <v>899</v>
      </c>
      <c r="M227" s="4">
        <f t="shared" si="19"/>
        <v>814.49399999999991</v>
      </c>
      <c r="N227" s="5">
        <v>90.6</v>
      </c>
      <c r="O227" s="4">
        <v>685</v>
      </c>
      <c r="P227" s="4">
        <f t="shared" si="20"/>
        <v>75.349999999999994</v>
      </c>
      <c r="Q227" s="5">
        <v>11</v>
      </c>
      <c r="R227" s="2">
        <v>91</v>
      </c>
      <c r="HZ227" s="34"/>
    </row>
    <row r="228" spans="1:234" s="46" customFormat="1" ht="15" customHeight="1">
      <c r="A228" s="70" t="s">
        <v>193</v>
      </c>
      <c r="B228" s="17">
        <v>2016</v>
      </c>
      <c r="C228" s="18" t="s">
        <v>604</v>
      </c>
      <c r="D228" s="16" t="s">
        <v>53</v>
      </c>
      <c r="E228" s="18" t="s">
        <v>388</v>
      </c>
      <c r="F228" s="18" t="s">
        <v>9</v>
      </c>
      <c r="G228" s="17" t="s">
        <v>198</v>
      </c>
      <c r="H228" s="18" t="s">
        <v>57</v>
      </c>
      <c r="I228" s="18" t="s">
        <v>389</v>
      </c>
      <c r="J228" s="18" t="s">
        <v>11</v>
      </c>
      <c r="K228" s="19" t="s">
        <v>390</v>
      </c>
      <c r="L228" s="20">
        <f>Table1[[#This Row],[N HSV-1 Ab+]]*100/Table1[[#This Row],[% HSV-1 infection]]</f>
        <v>1050.2857142857142</v>
      </c>
      <c r="M228" s="17">
        <v>919</v>
      </c>
      <c r="N228" s="21">
        <v>87.5</v>
      </c>
      <c r="O228" s="20">
        <f>Table1[[#This Row],[N HSV-2 Ab+]]*100/Table1[[#This Row],[% HSV-2 infection]]</f>
        <v>1049.6894409937888</v>
      </c>
      <c r="P228" s="20">
        <v>169</v>
      </c>
      <c r="Q228" s="21">
        <v>16.100000000000001</v>
      </c>
      <c r="R228" s="17">
        <v>92</v>
      </c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</row>
    <row r="229" spans="1:234" ht="15" customHeight="1">
      <c r="A229" s="66" t="s">
        <v>200</v>
      </c>
      <c r="B229" s="2">
        <v>2017</v>
      </c>
      <c r="C229" s="1" t="s">
        <v>8</v>
      </c>
      <c r="D229" s="1" t="s">
        <v>410</v>
      </c>
      <c r="E229" s="1" t="s">
        <v>201</v>
      </c>
      <c r="F229" s="1" t="s">
        <v>9</v>
      </c>
      <c r="G229" s="2">
        <v>2000</v>
      </c>
      <c r="H229" s="1" t="s">
        <v>22</v>
      </c>
      <c r="I229" s="1" t="s">
        <v>202</v>
      </c>
      <c r="J229" s="1" t="s">
        <v>16</v>
      </c>
      <c r="K229" s="3" t="s">
        <v>203</v>
      </c>
      <c r="L229" s="4">
        <v>621</v>
      </c>
      <c r="M229" s="4">
        <v>552</v>
      </c>
      <c r="N229" s="5">
        <v>88.9</v>
      </c>
      <c r="O229" s="4">
        <v>621</v>
      </c>
      <c r="P229" s="4">
        <v>139</v>
      </c>
      <c r="Q229" s="5">
        <v>22.4</v>
      </c>
      <c r="R229" s="2">
        <v>93</v>
      </c>
      <c r="HZ229" s="34"/>
    </row>
    <row r="230" spans="1:234" ht="15" customHeight="1">
      <c r="A230" s="66" t="s">
        <v>200</v>
      </c>
      <c r="B230" s="2">
        <v>2017</v>
      </c>
      <c r="C230" s="1" t="s">
        <v>8</v>
      </c>
      <c r="D230" s="1" t="s">
        <v>410</v>
      </c>
      <c r="E230" s="1" t="s">
        <v>201</v>
      </c>
      <c r="F230" s="1" t="s">
        <v>9</v>
      </c>
      <c r="G230" s="2">
        <v>2000</v>
      </c>
      <c r="H230" s="1" t="s">
        <v>22</v>
      </c>
      <c r="I230" s="1" t="s">
        <v>202</v>
      </c>
      <c r="J230" s="1" t="s">
        <v>16</v>
      </c>
      <c r="K230" s="3" t="s">
        <v>204</v>
      </c>
      <c r="L230" s="4">
        <v>100</v>
      </c>
      <c r="M230" s="4">
        <v>65</v>
      </c>
      <c r="N230" s="5">
        <v>65</v>
      </c>
      <c r="O230" s="4">
        <v>100</v>
      </c>
      <c r="P230" s="4">
        <v>8</v>
      </c>
      <c r="Q230" s="5">
        <v>8</v>
      </c>
      <c r="R230" s="2">
        <v>93</v>
      </c>
      <c r="HZ230" s="34"/>
    </row>
    <row r="231" spans="1:234" ht="15" customHeight="1">
      <c r="A231" s="66" t="s">
        <v>200</v>
      </c>
      <c r="B231" s="2">
        <v>2017</v>
      </c>
      <c r="C231" s="1" t="s">
        <v>8</v>
      </c>
      <c r="D231" s="1" t="s">
        <v>410</v>
      </c>
      <c r="E231" s="1" t="s">
        <v>201</v>
      </c>
      <c r="F231" s="1" t="s">
        <v>9</v>
      </c>
      <c r="G231" s="2">
        <v>2000</v>
      </c>
      <c r="H231" s="1" t="s">
        <v>22</v>
      </c>
      <c r="I231" s="1" t="s">
        <v>202</v>
      </c>
      <c r="J231" s="1" t="s">
        <v>16</v>
      </c>
      <c r="K231" s="3" t="s">
        <v>24</v>
      </c>
      <c r="L231" s="4">
        <v>49</v>
      </c>
      <c r="M231" s="4">
        <v>43</v>
      </c>
      <c r="N231" s="5">
        <v>87.8</v>
      </c>
      <c r="O231" s="4">
        <v>49</v>
      </c>
      <c r="P231" s="4">
        <v>15</v>
      </c>
      <c r="Q231" s="5">
        <v>30.6</v>
      </c>
      <c r="R231" s="2">
        <v>93</v>
      </c>
      <c r="HZ231" s="34"/>
    </row>
    <row r="232" spans="1:234" ht="15" customHeight="1">
      <c r="A232" s="66" t="s">
        <v>200</v>
      </c>
      <c r="B232" s="2">
        <v>2017</v>
      </c>
      <c r="C232" s="1" t="s">
        <v>8</v>
      </c>
      <c r="D232" s="1" t="s">
        <v>410</v>
      </c>
      <c r="E232" s="1" t="s">
        <v>201</v>
      </c>
      <c r="F232" s="1" t="s">
        <v>9</v>
      </c>
      <c r="G232" s="2">
        <v>2000</v>
      </c>
      <c r="H232" s="1" t="s">
        <v>22</v>
      </c>
      <c r="I232" s="1" t="s">
        <v>202</v>
      </c>
      <c r="J232" s="1" t="s">
        <v>16</v>
      </c>
      <c r="K232" s="3" t="s">
        <v>25</v>
      </c>
      <c r="L232" s="4">
        <v>51</v>
      </c>
      <c r="M232" s="4">
        <v>49</v>
      </c>
      <c r="N232" s="5">
        <v>96.1</v>
      </c>
      <c r="O232" s="4">
        <v>51</v>
      </c>
      <c r="P232" s="4">
        <v>24</v>
      </c>
      <c r="Q232" s="5">
        <v>47.1</v>
      </c>
      <c r="R232" s="2">
        <v>93</v>
      </c>
      <c r="HZ232" s="34"/>
    </row>
    <row r="233" spans="1:234" ht="15" customHeight="1">
      <c r="A233" s="66" t="s">
        <v>200</v>
      </c>
      <c r="B233" s="2">
        <v>2017</v>
      </c>
      <c r="C233" s="1" t="s">
        <v>8</v>
      </c>
      <c r="D233" s="1" t="s">
        <v>410</v>
      </c>
      <c r="E233" s="1" t="s">
        <v>201</v>
      </c>
      <c r="F233" s="1" t="s">
        <v>9</v>
      </c>
      <c r="G233" s="2">
        <v>2000</v>
      </c>
      <c r="H233" s="1" t="s">
        <v>22</v>
      </c>
      <c r="I233" s="1" t="s">
        <v>202</v>
      </c>
      <c r="J233" s="1" t="s">
        <v>16</v>
      </c>
      <c r="K233" s="3" t="s">
        <v>26</v>
      </c>
      <c r="L233" s="4">
        <v>54</v>
      </c>
      <c r="M233" s="4">
        <v>49</v>
      </c>
      <c r="N233" s="5">
        <v>90.7</v>
      </c>
      <c r="O233" s="4">
        <v>54</v>
      </c>
      <c r="P233" s="4">
        <v>19</v>
      </c>
      <c r="Q233" s="5">
        <v>35.200000000000003</v>
      </c>
      <c r="R233" s="2">
        <v>93</v>
      </c>
      <c r="HZ233" s="34"/>
    </row>
    <row r="234" spans="1:234" ht="15" customHeight="1">
      <c r="A234" s="66" t="s">
        <v>200</v>
      </c>
      <c r="B234" s="2">
        <v>2017</v>
      </c>
      <c r="C234" s="1" t="s">
        <v>8</v>
      </c>
      <c r="D234" s="1" t="s">
        <v>410</v>
      </c>
      <c r="E234" s="1" t="s">
        <v>201</v>
      </c>
      <c r="F234" s="1" t="s">
        <v>9</v>
      </c>
      <c r="G234" s="2">
        <v>2000</v>
      </c>
      <c r="H234" s="1" t="s">
        <v>22</v>
      </c>
      <c r="I234" s="1" t="s">
        <v>202</v>
      </c>
      <c r="J234" s="1" t="s">
        <v>16</v>
      </c>
      <c r="K234" s="3" t="s">
        <v>27</v>
      </c>
      <c r="L234" s="4">
        <v>66</v>
      </c>
      <c r="M234" s="4">
        <v>61</v>
      </c>
      <c r="N234" s="5">
        <v>92.4</v>
      </c>
      <c r="O234" s="4">
        <v>66</v>
      </c>
      <c r="P234" s="4">
        <v>14</v>
      </c>
      <c r="Q234" s="5">
        <v>21.2</v>
      </c>
      <c r="R234" s="2">
        <v>93</v>
      </c>
      <c r="HZ234" s="34"/>
    </row>
    <row r="235" spans="1:234" ht="15" customHeight="1">
      <c r="A235" s="66" t="s">
        <v>200</v>
      </c>
      <c r="B235" s="2">
        <v>2017</v>
      </c>
      <c r="C235" s="1" t="s">
        <v>8</v>
      </c>
      <c r="D235" s="1" t="s">
        <v>410</v>
      </c>
      <c r="E235" s="1" t="s">
        <v>201</v>
      </c>
      <c r="F235" s="1" t="s">
        <v>9</v>
      </c>
      <c r="G235" s="2">
        <v>2000</v>
      </c>
      <c r="H235" s="1" t="s">
        <v>22</v>
      </c>
      <c r="I235" s="1" t="s">
        <v>202</v>
      </c>
      <c r="J235" s="1" t="s">
        <v>16</v>
      </c>
      <c r="K235" s="3" t="s">
        <v>28</v>
      </c>
      <c r="L235" s="4">
        <v>51</v>
      </c>
      <c r="M235" s="4">
        <v>49</v>
      </c>
      <c r="N235" s="5">
        <v>96.1</v>
      </c>
      <c r="O235" s="4">
        <v>51</v>
      </c>
      <c r="P235" s="4">
        <v>7</v>
      </c>
      <c r="Q235" s="5">
        <v>13.7</v>
      </c>
      <c r="R235" s="2">
        <v>93</v>
      </c>
      <c r="HZ235" s="34"/>
    </row>
    <row r="236" spans="1:234" ht="15" customHeight="1">
      <c r="A236" s="66" t="s">
        <v>200</v>
      </c>
      <c r="B236" s="2">
        <v>2017</v>
      </c>
      <c r="C236" s="1" t="s">
        <v>8</v>
      </c>
      <c r="D236" s="1" t="s">
        <v>410</v>
      </c>
      <c r="E236" s="1" t="s">
        <v>201</v>
      </c>
      <c r="F236" s="1" t="s">
        <v>9</v>
      </c>
      <c r="G236" s="2">
        <v>2000</v>
      </c>
      <c r="H236" s="1" t="s">
        <v>22</v>
      </c>
      <c r="I236" s="1" t="s">
        <v>202</v>
      </c>
      <c r="J236" s="1" t="s">
        <v>16</v>
      </c>
      <c r="K236" s="3" t="s">
        <v>46</v>
      </c>
      <c r="L236" s="4">
        <v>106</v>
      </c>
      <c r="M236" s="4">
        <v>100</v>
      </c>
      <c r="N236" s="5">
        <v>94.3</v>
      </c>
      <c r="O236" s="4">
        <v>106</v>
      </c>
      <c r="P236" s="4">
        <v>17</v>
      </c>
      <c r="Q236" s="5">
        <v>16</v>
      </c>
      <c r="R236" s="2">
        <v>93</v>
      </c>
      <c r="HZ236" s="34"/>
    </row>
    <row r="237" spans="1:234" ht="15" customHeight="1">
      <c r="A237" s="66" t="s">
        <v>200</v>
      </c>
      <c r="B237" s="2">
        <v>2017</v>
      </c>
      <c r="C237" s="1" t="s">
        <v>8</v>
      </c>
      <c r="D237" s="1" t="s">
        <v>410</v>
      </c>
      <c r="E237" s="1" t="s">
        <v>201</v>
      </c>
      <c r="F237" s="1" t="s">
        <v>9</v>
      </c>
      <c r="G237" s="2">
        <v>2000</v>
      </c>
      <c r="H237" s="1" t="s">
        <v>22</v>
      </c>
      <c r="I237" s="1" t="s">
        <v>202</v>
      </c>
      <c r="J237" s="1" t="s">
        <v>16</v>
      </c>
      <c r="K237" s="3" t="s">
        <v>205</v>
      </c>
      <c r="L237" s="4">
        <v>144</v>
      </c>
      <c r="M237" s="4">
        <v>136</v>
      </c>
      <c r="N237" s="5">
        <v>94.4</v>
      </c>
      <c r="O237" s="4">
        <v>144</v>
      </c>
      <c r="P237" s="4">
        <v>35</v>
      </c>
      <c r="Q237" s="5">
        <v>24.3</v>
      </c>
      <c r="R237" s="2">
        <v>93</v>
      </c>
      <c r="HZ237" s="34"/>
    </row>
    <row r="238" spans="1:234" ht="15" customHeight="1">
      <c r="A238" s="66" t="s">
        <v>200</v>
      </c>
      <c r="B238" s="2">
        <v>2017</v>
      </c>
      <c r="C238" s="1" t="s">
        <v>8</v>
      </c>
      <c r="D238" s="1" t="s">
        <v>410</v>
      </c>
      <c r="E238" s="1" t="s">
        <v>201</v>
      </c>
      <c r="F238" s="1" t="s">
        <v>9</v>
      </c>
      <c r="G238" s="2">
        <v>2000</v>
      </c>
      <c r="H238" s="1" t="s">
        <v>22</v>
      </c>
      <c r="I238" s="1" t="s">
        <v>202</v>
      </c>
      <c r="J238" s="1" t="s">
        <v>23</v>
      </c>
      <c r="K238" s="3" t="s">
        <v>203</v>
      </c>
      <c r="L238" s="4">
        <v>225</v>
      </c>
      <c r="M238" s="4">
        <v>190</v>
      </c>
      <c r="N238" s="5">
        <v>84.4</v>
      </c>
      <c r="O238" s="4">
        <v>225</v>
      </c>
      <c r="P238" s="4">
        <v>49</v>
      </c>
      <c r="Q238" s="5">
        <v>21.8</v>
      </c>
      <c r="R238" s="2">
        <v>93</v>
      </c>
      <c r="HZ238" s="34"/>
    </row>
    <row r="239" spans="1:234" ht="15" customHeight="1">
      <c r="A239" s="66" t="s">
        <v>200</v>
      </c>
      <c r="B239" s="2">
        <v>2017</v>
      </c>
      <c r="C239" s="1" t="s">
        <v>8</v>
      </c>
      <c r="D239" s="1" t="s">
        <v>410</v>
      </c>
      <c r="E239" s="1" t="s">
        <v>201</v>
      </c>
      <c r="F239" s="1" t="s">
        <v>9</v>
      </c>
      <c r="G239" s="2">
        <v>2000</v>
      </c>
      <c r="H239" s="1" t="s">
        <v>22</v>
      </c>
      <c r="I239" s="1" t="s">
        <v>202</v>
      </c>
      <c r="J239" s="1" t="s">
        <v>23</v>
      </c>
      <c r="K239" s="3" t="s">
        <v>204</v>
      </c>
      <c r="L239" s="4">
        <v>60</v>
      </c>
      <c r="M239" s="4">
        <v>42</v>
      </c>
      <c r="N239" s="5">
        <v>70</v>
      </c>
      <c r="O239" s="4">
        <v>60</v>
      </c>
      <c r="P239" s="4">
        <v>5</v>
      </c>
      <c r="Q239" s="5">
        <v>8.3000000000000007</v>
      </c>
      <c r="R239" s="2">
        <v>93</v>
      </c>
      <c r="HZ239" s="34"/>
    </row>
    <row r="240" spans="1:234" ht="15" customHeight="1">
      <c r="A240" s="66" t="s">
        <v>200</v>
      </c>
      <c r="B240" s="2">
        <v>2017</v>
      </c>
      <c r="C240" s="1" t="s">
        <v>8</v>
      </c>
      <c r="D240" s="1" t="s">
        <v>410</v>
      </c>
      <c r="E240" s="1" t="s">
        <v>201</v>
      </c>
      <c r="F240" s="1" t="s">
        <v>9</v>
      </c>
      <c r="G240" s="2">
        <v>2000</v>
      </c>
      <c r="H240" s="1" t="s">
        <v>22</v>
      </c>
      <c r="I240" s="1" t="s">
        <v>202</v>
      </c>
      <c r="J240" s="1" t="s">
        <v>23</v>
      </c>
      <c r="K240" s="3" t="s">
        <v>24</v>
      </c>
      <c r="L240" s="4">
        <v>8</v>
      </c>
      <c r="M240" s="4">
        <v>8</v>
      </c>
      <c r="N240" s="5">
        <v>100</v>
      </c>
      <c r="O240" s="4">
        <v>8</v>
      </c>
      <c r="P240" s="4">
        <v>1</v>
      </c>
      <c r="Q240" s="5">
        <v>12.5</v>
      </c>
      <c r="R240" s="2">
        <v>93</v>
      </c>
      <c r="HZ240" s="34"/>
    </row>
    <row r="241" spans="1:234" ht="15" customHeight="1">
      <c r="A241" s="66" t="s">
        <v>200</v>
      </c>
      <c r="B241" s="2">
        <v>2017</v>
      </c>
      <c r="C241" s="1" t="s">
        <v>8</v>
      </c>
      <c r="D241" s="1" t="s">
        <v>410</v>
      </c>
      <c r="E241" s="1" t="s">
        <v>201</v>
      </c>
      <c r="F241" s="1" t="s">
        <v>9</v>
      </c>
      <c r="G241" s="2">
        <v>2000</v>
      </c>
      <c r="H241" s="1" t="s">
        <v>22</v>
      </c>
      <c r="I241" s="1" t="s">
        <v>202</v>
      </c>
      <c r="J241" s="1" t="s">
        <v>23</v>
      </c>
      <c r="K241" s="3" t="s">
        <v>25</v>
      </c>
      <c r="L241" s="4">
        <v>12</v>
      </c>
      <c r="M241" s="4">
        <v>10</v>
      </c>
      <c r="N241" s="5">
        <v>83.3</v>
      </c>
      <c r="O241" s="4">
        <v>12</v>
      </c>
      <c r="P241" s="4">
        <v>7</v>
      </c>
      <c r="Q241" s="5">
        <v>58.3</v>
      </c>
      <c r="R241" s="2">
        <v>93</v>
      </c>
      <c r="HZ241" s="34"/>
    </row>
    <row r="242" spans="1:234" ht="15" customHeight="1">
      <c r="A242" s="66" t="s">
        <v>200</v>
      </c>
      <c r="B242" s="2">
        <v>2017</v>
      </c>
      <c r="C242" s="1" t="s">
        <v>8</v>
      </c>
      <c r="D242" s="1" t="s">
        <v>410</v>
      </c>
      <c r="E242" s="1" t="s">
        <v>201</v>
      </c>
      <c r="F242" s="1" t="s">
        <v>9</v>
      </c>
      <c r="G242" s="2">
        <v>2000</v>
      </c>
      <c r="H242" s="1" t="s">
        <v>22</v>
      </c>
      <c r="I242" s="1" t="s">
        <v>202</v>
      </c>
      <c r="J242" s="1" t="s">
        <v>23</v>
      </c>
      <c r="K242" s="3" t="s">
        <v>26</v>
      </c>
      <c r="L242" s="4">
        <v>12</v>
      </c>
      <c r="M242" s="4">
        <v>11</v>
      </c>
      <c r="N242" s="5">
        <v>91.7</v>
      </c>
      <c r="O242" s="4">
        <v>12</v>
      </c>
      <c r="P242" s="4">
        <v>3</v>
      </c>
      <c r="Q242" s="5">
        <v>25</v>
      </c>
      <c r="R242" s="2">
        <v>93</v>
      </c>
      <c r="HZ242" s="34"/>
    </row>
    <row r="243" spans="1:234" ht="15" customHeight="1">
      <c r="A243" s="66" t="s">
        <v>200</v>
      </c>
      <c r="B243" s="2">
        <v>2017</v>
      </c>
      <c r="C243" s="1" t="s">
        <v>8</v>
      </c>
      <c r="D243" s="1" t="s">
        <v>410</v>
      </c>
      <c r="E243" s="1" t="s">
        <v>201</v>
      </c>
      <c r="F243" s="1" t="s">
        <v>9</v>
      </c>
      <c r="G243" s="2">
        <v>2000</v>
      </c>
      <c r="H243" s="1" t="s">
        <v>22</v>
      </c>
      <c r="I243" s="1" t="s">
        <v>202</v>
      </c>
      <c r="J243" s="1" t="s">
        <v>23</v>
      </c>
      <c r="K243" s="3" t="s">
        <v>27</v>
      </c>
      <c r="L243" s="4">
        <v>16</v>
      </c>
      <c r="M243" s="4">
        <v>14</v>
      </c>
      <c r="N243" s="5">
        <v>87.5</v>
      </c>
      <c r="O243" s="4">
        <v>16</v>
      </c>
      <c r="P243" s="4">
        <v>6</v>
      </c>
      <c r="Q243" s="5">
        <v>37.5</v>
      </c>
      <c r="R243" s="2">
        <v>93</v>
      </c>
      <c r="HZ243" s="34"/>
    </row>
    <row r="244" spans="1:234" ht="15" customHeight="1">
      <c r="A244" s="66" t="s">
        <v>200</v>
      </c>
      <c r="B244" s="2">
        <v>2017</v>
      </c>
      <c r="C244" s="1" t="s">
        <v>8</v>
      </c>
      <c r="D244" s="1" t="s">
        <v>410</v>
      </c>
      <c r="E244" s="1" t="s">
        <v>201</v>
      </c>
      <c r="F244" s="1" t="s">
        <v>9</v>
      </c>
      <c r="G244" s="2">
        <v>2000</v>
      </c>
      <c r="H244" s="1" t="s">
        <v>22</v>
      </c>
      <c r="I244" s="1" t="s">
        <v>202</v>
      </c>
      <c r="J244" s="1" t="s">
        <v>23</v>
      </c>
      <c r="K244" s="3" t="s">
        <v>28</v>
      </c>
      <c r="L244" s="4">
        <v>20</v>
      </c>
      <c r="M244" s="4">
        <v>20</v>
      </c>
      <c r="N244" s="5">
        <v>100</v>
      </c>
      <c r="O244" s="4">
        <v>20</v>
      </c>
      <c r="P244" s="4">
        <v>7</v>
      </c>
      <c r="Q244" s="5">
        <v>35</v>
      </c>
      <c r="R244" s="2">
        <v>93</v>
      </c>
      <c r="HZ244" s="34"/>
    </row>
    <row r="245" spans="1:234" ht="15" customHeight="1">
      <c r="A245" s="66" t="s">
        <v>200</v>
      </c>
      <c r="B245" s="2">
        <v>2017</v>
      </c>
      <c r="C245" s="1" t="s">
        <v>8</v>
      </c>
      <c r="D245" s="1" t="s">
        <v>410</v>
      </c>
      <c r="E245" s="1" t="s">
        <v>201</v>
      </c>
      <c r="F245" s="1" t="s">
        <v>9</v>
      </c>
      <c r="G245" s="2">
        <v>2000</v>
      </c>
      <c r="H245" s="1" t="s">
        <v>22</v>
      </c>
      <c r="I245" s="1" t="s">
        <v>202</v>
      </c>
      <c r="J245" s="1" t="s">
        <v>23</v>
      </c>
      <c r="K245" s="3" t="s">
        <v>46</v>
      </c>
      <c r="L245" s="4">
        <v>43</v>
      </c>
      <c r="M245" s="4">
        <v>38</v>
      </c>
      <c r="N245" s="5">
        <v>88.4</v>
      </c>
      <c r="O245" s="4">
        <v>43</v>
      </c>
      <c r="P245" s="4">
        <v>4</v>
      </c>
      <c r="Q245" s="5">
        <v>9.3000000000000007</v>
      </c>
      <c r="R245" s="2">
        <v>93</v>
      </c>
      <c r="HZ245" s="34"/>
    </row>
    <row r="246" spans="1:234" ht="15" customHeight="1">
      <c r="A246" s="66" t="s">
        <v>200</v>
      </c>
      <c r="B246" s="2">
        <v>2017</v>
      </c>
      <c r="C246" s="1" t="s">
        <v>8</v>
      </c>
      <c r="D246" s="1" t="s">
        <v>410</v>
      </c>
      <c r="E246" s="1" t="s">
        <v>201</v>
      </c>
      <c r="F246" s="1" t="s">
        <v>9</v>
      </c>
      <c r="G246" s="2">
        <v>2000</v>
      </c>
      <c r="H246" s="1" t="s">
        <v>22</v>
      </c>
      <c r="I246" s="1" t="s">
        <v>202</v>
      </c>
      <c r="J246" s="1" t="s">
        <v>23</v>
      </c>
      <c r="K246" s="3" t="s">
        <v>205</v>
      </c>
      <c r="L246" s="4">
        <v>54</v>
      </c>
      <c r="M246" s="4">
        <v>47</v>
      </c>
      <c r="N246" s="5">
        <v>87</v>
      </c>
      <c r="O246" s="4">
        <v>54</v>
      </c>
      <c r="P246" s="4">
        <v>16</v>
      </c>
      <c r="Q246" s="5">
        <v>29.6</v>
      </c>
      <c r="R246" s="2">
        <v>93</v>
      </c>
      <c r="HZ246" s="34"/>
    </row>
    <row r="247" spans="1:234" ht="15" customHeight="1">
      <c r="A247" s="66" t="s">
        <v>200</v>
      </c>
      <c r="B247" s="2">
        <v>2017</v>
      </c>
      <c r="C247" s="1" t="s">
        <v>8</v>
      </c>
      <c r="D247" s="1" t="s">
        <v>410</v>
      </c>
      <c r="E247" s="1" t="s">
        <v>201</v>
      </c>
      <c r="F247" s="1" t="s">
        <v>9</v>
      </c>
      <c r="G247" s="2">
        <v>2000</v>
      </c>
      <c r="H247" s="1" t="s">
        <v>22</v>
      </c>
      <c r="I247" s="1" t="s">
        <v>202</v>
      </c>
      <c r="J247" s="1" t="s">
        <v>11</v>
      </c>
      <c r="K247" s="3" t="s">
        <v>203</v>
      </c>
      <c r="L247" s="4">
        <v>396</v>
      </c>
      <c r="M247" s="4">
        <v>362</v>
      </c>
      <c r="N247" s="5">
        <v>91.4</v>
      </c>
      <c r="O247" s="4">
        <v>396</v>
      </c>
      <c r="P247" s="4">
        <v>90</v>
      </c>
      <c r="Q247" s="5">
        <v>22.7</v>
      </c>
      <c r="R247" s="2">
        <v>93</v>
      </c>
      <c r="HZ247" s="34"/>
    </row>
    <row r="248" spans="1:234" ht="15" customHeight="1">
      <c r="A248" s="66" t="s">
        <v>200</v>
      </c>
      <c r="B248" s="2">
        <v>2017</v>
      </c>
      <c r="C248" s="1" t="s">
        <v>8</v>
      </c>
      <c r="D248" s="1" t="s">
        <v>410</v>
      </c>
      <c r="E248" s="1" t="s">
        <v>201</v>
      </c>
      <c r="F248" s="1" t="s">
        <v>9</v>
      </c>
      <c r="G248" s="2">
        <v>2000</v>
      </c>
      <c r="H248" s="1" t="s">
        <v>22</v>
      </c>
      <c r="I248" s="1" t="s">
        <v>202</v>
      </c>
      <c r="J248" s="1" t="s">
        <v>11</v>
      </c>
      <c r="K248" s="3" t="s">
        <v>204</v>
      </c>
      <c r="L248" s="4">
        <v>40</v>
      </c>
      <c r="M248" s="4">
        <v>23</v>
      </c>
      <c r="N248" s="5">
        <v>57.5</v>
      </c>
      <c r="O248" s="4">
        <v>40</v>
      </c>
      <c r="P248" s="4">
        <v>3</v>
      </c>
      <c r="Q248" s="5">
        <v>7.5</v>
      </c>
      <c r="R248" s="2">
        <v>93</v>
      </c>
      <c r="HZ248" s="34"/>
    </row>
    <row r="249" spans="1:234" ht="15" customHeight="1">
      <c r="A249" s="66" t="s">
        <v>200</v>
      </c>
      <c r="B249" s="2">
        <v>2017</v>
      </c>
      <c r="C249" s="1" t="s">
        <v>8</v>
      </c>
      <c r="D249" s="1" t="s">
        <v>410</v>
      </c>
      <c r="E249" s="1" t="s">
        <v>201</v>
      </c>
      <c r="F249" s="1" t="s">
        <v>9</v>
      </c>
      <c r="G249" s="2">
        <v>2000</v>
      </c>
      <c r="H249" s="1" t="s">
        <v>22</v>
      </c>
      <c r="I249" s="1" t="s">
        <v>202</v>
      </c>
      <c r="J249" s="1" t="s">
        <v>11</v>
      </c>
      <c r="K249" s="3" t="s">
        <v>24</v>
      </c>
      <c r="L249" s="4">
        <v>41</v>
      </c>
      <c r="M249" s="4">
        <v>35</v>
      </c>
      <c r="N249" s="5">
        <v>85.4</v>
      </c>
      <c r="O249" s="4">
        <v>41</v>
      </c>
      <c r="P249" s="4">
        <v>14</v>
      </c>
      <c r="Q249" s="5">
        <v>34.1</v>
      </c>
      <c r="R249" s="2">
        <v>93</v>
      </c>
      <c r="HZ249" s="34"/>
    </row>
    <row r="250" spans="1:234" ht="15" customHeight="1">
      <c r="A250" s="66" t="s">
        <v>200</v>
      </c>
      <c r="B250" s="2">
        <v>2017</v>
      </c>
      <c r="C250" s="1" t="s">
        <v>8</v>
      </c>
      <c r="D250" s="1" t="s">
        <v>410</v>
      </c>
      <c r="E250" s="1" t="s">
        <v>201</v>
      </c>
      <c r="F250" s="1" t="s">
        <v>9</v>
      </c>
      <c r="G250" s="2">
        <v>2000</v>
      </c>
      <c r="H250" s="1" t="s">
        <v>22</v>
      </c>
      <c r="I250" s="1" t="s">
        <v>202</v>
      </c>
      <c r="J250" s="1" t="s">
        <v>11</v>
      </c>
      <c r="K250" s="3" t="s">
        <v>25</v>
      </c>
      <c r="L250" s="4">
        <v>39</v>
      </c>
      <c r="M250" s="4">
        <v>39</v>
      </c>
      <c r="N250" s="5">
        <v>100</v>
      </c>
      <c r="O250" s="4">
        <v>39</v>
      </c>
      <c r="P250" s="4">
        <v>17</v>
      </c>
      <c r="Q250" s="5">
        <v>43.6</v>
      </c>
      <c r="R250" s="2">
        <v>93</v>
      </c>
      <c r="HZ250" s="34"/>
    </row>
    <row r="251" spans="1:234" ht="15" customHeight="1">
      <c r="A251" s="66" t="s">
        <v>200</v>
      </c>
      <c r="B251" s="2">
        <v>2017</v>
      </c>
      <c r="C251" s="1" t="s">
        <v>8</v>
      </c>
      <c r="D251" s="1" t="s">
        <v>410</v>
      </c>
      <c r="E251" s="1" t="s">
        <v>201</v>
      </c>
      <c r="F251" s="1" t="s">
        <v>9</v>
      </c>
      <c r="G251" s="2">
        <v>2000</v>
      </c>
      <c r="H251" s="1" t="s">
        <v>22</v>
      </c>
      <c r="I251" s="1" t="s">
        <v>202</v>
      </c>
      <c r="J251" s="1" t="s">
        <v>11</v>
      </c>
      <c r="K251" s="3" t="s">
        <v>26</v>
      </c>
      <c r="L251" s="4">
        <v>42</v>
      </c>
      <c r="M251" s="4">
        <v>38</v>
      </c>
      <c r="N251" s="5">
        <v>90.5</v>
      </c>
      <c r="O251" s="4">
        <v>42</v>
      </c>
      <c r="P251" s="4">
        <v>16</v>
      </c>
      <c r="Q251" s="5">
        <v>38.1</v>
      </c>
      <c r="R251" s="2">
        <v>93</v>
      </c>
      <c r="HZ251" s="34"/>
    </row>
    <row r="252" spans="1:234" ht="15" customHeight="1">
      <c r="A252" s="66" t="s">
        <v>200</v>
      </c>
      <c r="B252" s="2">
        <v>2017</v>
      </c>
      <c r="C252" s="1" t="s">
        <v>8</v>
      </c>
      <c r="D252" s="1" t="s">
        <v>410</v>
      </c>
      <c r="E252" s="1" t="s">
        <v>201</v>
      </c>
      <c r="F252" s="1" t="s">
        <v>9</v>
      </c>
      <c r="G252" s="2">
        <v>2000</v>
      </c>
      <c r="H252" s="1" t="s">
        <v>22</v>
      </c>
      <c r="I252" s="1" t="s">
        <v>202</v>
      </c>
      <c r="J252" s="1" t="s">
        <v>11</v>
      </c>
      <c r="K252" s="3" t="s">
        <v>27</v>
      </c>
      <c r="L252" s="4">
        <v>50</v>
      </c>
      <c r="M252" s="4">
        <v>47</v>
      </c>
      <c r="N252" s="5">
        <v>94</v>
      </c>
      <c r="O252" s="4">
        <v>50</v>
      </c>
      <c r="P252" s="4">
        <v>8</v>
      </c>
      <c r="Q252" s="5">
        <v>16</v>
      </c>
      <c r="R252" s="2">
        <v>93</v>
      </c>
      <c r="HZ252" s="34"/>
    </row>
    <row r="253" spans="1:234" ht="15" customHeight="1">
      <c r="A253" s="66" t="s">
        <v>200</v>
      </c>
      <c r="B253" s="2">
        <v>2017</v>
      </c>
      <c r="C253" s="1" t="s">
        <v>8</v>
      </c>
      <c r="D253" s="1" t="s">
        <v>410</v>
      </c>
      <c r="E253" s="1" t="s">
        <v>201</v>
      </c>
      <c r="F253" s="1" t="s">
        <v>9</v>
      </c>
      <c r="G253" s="2">
        <v>2000</v>
      </c>
      <c r="H253" s="1" t="s">
        <v>22</v>
      </c>
      <c r="I253" s="1" t="s">
        <v>202</v>
      </c>
      <c r="J253" s="1" t="s">
        <v>11</v>
      </c>
      <c r="K253" s="3" t="s">
        <v>28</v>
      </c>
      <c r="L253" s="4">
        <v>31</v>
      </c>
      <c r="M253" s="4">
        <v>29</v>
      </c>
      <c r="N253" s="5">
        <v>93.5</v>
      </c>
      <c r="O253" s="4">
        <v>31</v>
      </c>
      <c r="P253" s="4">
        <v>0</v>
      </c>
      <c r="Q253" s="5">
        <v>0</v>
      </c>
      <c r="R253" s="2">
        <v>93</v>
      </c>
      <c r="HZ253" s="34"/>
    </row>
    <row r="254" spans="1:234" ht="15" customHeight="1">
      <c r="A254" s="66" t="s">
        <v>200</v>
      </c>
      <c r="B254" s="2">
        <v>2017</v>
      </c>
      <c r="C254" s="1" t="s">
        <v>8</v>
      </c>
      <c r="D254" s="1" t="s">
        <v>410</v>
      </c>
      <c r="E254" s="1" t="s">
        <v>201</v>
      </c>
      <c r="F254" s="1" t="s">
        <v>9</v>
      </c>
      <c r="G254" s="2">
        <v>2000</v>
      </c>
      <c r="H254" s="1" t="s">
        <v>22</v>
      </c>
      <c r="I254" s="1" t="s">
        <v>202</v>
      </c>
      <c r="J254" s="1" t="s">
        <v>11</v>
      </c>
      <c r="K254" s="3" t="s">
        <v>46</v>
      </c>
      <c r="L254" s="4">
        <v>63</v>
      </c>
      <c r="M254" s="4">
        <v>62</v>
      </c>
      <c r="N254" s="5">
        <v>98.4</v>
      </c>
      <c r="O254" s="4">
        <v>63</v>
      </c>
      <c r="P254" s="4">
        <v>13</v>
      </c>
      <c r="Q254" s="5">
        <v>20.6</v>
      </c>
      <c r="R254" s="2">
        <v>93</v>
      </c>
      <c r="HZ254" s="34"/>
    </row>
    <row r="255" spans="1:234" ht="15" customHeight="1">
      <c r="A255" s="66" t="s">
        <v>200</v>
      </c>
      <c r="B255" s="2">
        <v>2017</v>
      </c>
      <c r="C255" s="1" t="s">
        <v>8</v>
      </c>
      <c r="D255" s="1" t="s">
        <v>410</v>
      </c>
      <c r="E255" s="1" t="s">
        <v>201</v>
      </c>
      <c r="F255" s="1" t="s">
        <v>9</v>
      </c>
      <c r="G255" s="2">
        <v>2000</v>
      </c>
      <c r="H255" s="1" t="s">
        <v>22</v>
      </c>
      <c r="I255" s="1" t="s">
        <v>202</v>
      </c>
      <c r="J255" s="1" t="s">
        <v>11</v>
      </c>
      <c r="K255" s="3" t="s">
        <v>205</v>
      </c>
      <c r="L255" s="4">
        <v>90</v>
      </c>
      <c r="M255" s="4">
        <v>89</v>
      </c>
      <c r="N255" s="5">
        <v>98.9</v>
      </c>
      <c r="O255" s="4">
        <v>90</v>
      </c>
      <c r="P255" s="4">
        <v>19</v>
      </c>
      <c r="Q255" s="5">
        <v>21.1</v>
      </c>
      <c r="R255" s="2">
        <v>93</v>
      </c>
      <c r="HZ255" s="34"/>
    </row>
    <row r="256" spans="1:234" ht="15" customHeight="1">
      <c r="A256" s="66" t="s">
        <v>200</v>
      </c>
      <c r="B256" s="2">
        <v>2017</v>
      </c>
      <c r="C256" s="1" t="s">
        <v>8</v>
      </c>
      <c r="D256" s="1" t="s">
        <v>410</v>
      </c>
      <c r="E256" s="1" t="s">
        <v>201</v>
      </c>
      <c r="F256" s="1" t="s">
        <v>9</v>
      </c>
      <c r="G256" s="2">
        <v>2005</v>
      </c>
      <c r="H256" s="1" t="s">
        <v>22</v>
      </c>
      <c r="I256" s="1" t="s">
        <v>202</v>
      </c>
      <c r="J256" s="1" t="s">
        <v>16</v>
      </c>
      <c r="K256" s="3" t="s">
        <v>203</v>
      </c>
      <c r="L256" s="4">
        <v>615</v>
      </c>
      <c r="M256" s="4">
        <v>515</v>
      </c>
      <c r="N256" s="5">
        <v>83.7</v>
      </c>
      <c r="O256" s="4">
        <v>615</v>
      </c>
      <c r="P256" s="4">
        <v>80</v>
      </c>
      <c r="Q256" s="5">
        <v>13</v>
      </c>
      <c r="R256" s="2">
        <v>93</v>
      </c>
      <c r="HZ256" s="34"/>
    </row>
    <row r="257" spans="1:234" ht="15" customHeight="1">
      <c r="A257" s="66" t="s">
        <v>200</v>
      </c>
      <c r="B257" s="2">
        <v>2017</v>
      </c>
      <c r="C257" s="1" t="s">
        <v>8</v>
      </c>
      <c r="D257" s="1" t="s">
        <v>410</v>
      </c>
      <c r="E257" s="1" t="s">
        <v>201</v>
      </c>
      <c r="F257" s="1" t="s">
        <v>9</v>
      </c>
      <c r="G257" s="2">
        <v>2005</v>
      </c>
      <c r="H257" s="1" t="s">
        <v>22</v>
      </c>
      <c r="I257" s="1" t="s">
        <v>202</v>
      </c>
      <c r="J257" s="1" t="s">
        <v>16</v>
      </c>
      <c r="K257" s="3" t="s">
        <v>204</v>
      </c>
      <c r="L257" s="4">
        <v>58</v>
      </c>
      <c r="M257" s="4">
        <v>30</v>
      </c>
      <c r="N257" s="5">
        <v>51.7</v>
      </c>
      <c r="O257" s="4">
        <v>58</v>
      </c>
      <c r="P257" s="4">
        <v>2</v>
      </c>
      <c r="Q257" s="5">
        <v>3.4</v>
      </c>
      <c r="R257" s="2">
        <v>93</v>
      </c>
      <c r="HZ257" s="34"/>
    </row>
    <row r="258" spans="1:234" ht="15" customHeight="1">
      <c r="A258" s="66" t="s">
        <v>200</v>
      </c>
      <c r="B258" s="2">
        <v>2017</v>
      </c>
      <c r="C258" s="1" t="s">
        <v>8</v>
      </c>
      <c r="D258" s="1" t="s">
        <v>410</v>
      </c>
      <c r="E258" s="1" t="s">
        <v>201</v>
      </c>
      <c r="F258" s="1" t="s">
        <v>9</v>
      </c>
      <c r="G258" s="2">
        <v>2005</v>
      </c>
      <c r="H258" s="1" t="s">
        <v>22</v>
      </c>
      <c r="I258" s="1" t="s">
        <v>202</v>
      </c>
      <c r="J258" s="1" t="s">
        <v>16</v>
      </c>
      <c r="K258" s="3" t="s">
        <v>24</v>
      </c>
      <c r="L258" s="4">
        <v>20</v>
      </c>
      <c r="M258" s="4">
        <v>7</v>
      </c>
      <c r="N258" s="5">
        <v>35</v>
      </c>
      <c r="O258" s="4">
        <v>20</v>
      </c>
      <c r="P258" s="4">
        <v>2</v>
      </c>
      <c r="Q258" s="5">
        <v>10</v>
      </c>
      <c r="R258" s="2">
        <v>93</v>
      </c>
      <c r="HZ258" s="34"/>
    </row>
    <row r="259" spans="1:234" ht="15" customHeight="1">
      <c r="A259" s="66" t="s">
        <v>200</v>
      </c>
      <c r="B259" s="2">
        <v>2017</v>
      </c>
      <c r="C259" s="1" t="s">
        <v>8</v>
      </c>
      <c r="D259" s="1" t="s">
        <v>410</v>
      </c>
      <c r="E259" s="1" t="s">
        <v>201</v>
      </c>
      <c r="F259" s="1" t="s">
        <v>9</v>
      </c>
      <c r="G259" s="2">
        <v>2005</v>
      </c>
      <c r="H259" s="1" t="s">
        <v>22</v>
      </c>
      <c r="I259" s="1" t="s">
        <v>202</v>
      </c>
      <c r="J259" s="1" t="s">
        <v>16</v>
      </c>
      <c r="K259" s="3" t="s">
        <v>25</v>
      </c>
      <c r="L259" s="4">
        <v>21</v>
      </c>
      <c r="M259" s="4">
        <v>14</v>
      </c>
      <c r="N259" s="5">
        <v>66.7</v>
      </c>
      <c r="O259" s="4">
        <v>21</v>
      </c>
      <c r="P259" s="4">
        <v>2</v>
      </c>
      <c r="Q259" s="5">
        <v>9.5</v>
      </c>
      <c r="R259" s="2">
        <v>93</v>
      </c>
      <c r="HZ259" s="34"/>
    </row>
    <row r="260" spans="1:234" ht="15" customHeight="1">
      <c r="A260" s="66" t="s">
        <v>200</v>
      </c>
      <c r="B260" s="2">
        <v>2017</v>
      </c>
      <c r="C260" s="1" t="s">
        <v>8</v>
      </c>
      <c r="D260" s="1" t="s">
        <v>410</v>
      </c>
      <c r="E260" s="1" t="s">
        <v>201</v>
      </c>
      <c r="F260" s="1" t="s">
        <v>9</v>
      </c>
      <c r="G260" s="2">
        <v>2005</v>
      </c>
      <c r="H260" s="1" t="s">
        <v>22</v>
      </c>
      <c r="I260" s="1" t="s">
        <v>202</v>
      </c>
      <c r="J260" s="1" t="s">
        <v>16</v>
      </c>
      <c r="K260" s="3" t="s">
        <v>26</v>
      </c>
      <c r="L260" s="4">
        <v>36</v>
      </c>
      <c r="M260" s="4">
        <v>30</v>
      </c>
      <c r="N260" s="5">
        <v>83.3</v>
      </c>
      <c r="O260" s="4">
        <v>36</v>
      </c>
      <c r="P260" s="4">
        <v>8</v>
      </c>
      <c r="Q260" s="5">
        <v>22.2</v>
      </c>
      <c r="R260" s="2">
        <v>93</v>
      </c>
      <c r="HZ260" s="34"/>
    </row>
    <row r="261" spans="1:234" ht="15" customHeight="1">
      <c r="A261" s="66" t="s">
        <v>200</v>
      </c>
      <c r="B261" s="2">
        <v>2017</v>
      </c>
      <c r="C261" s="1" t="s">
        <v>8</v>
      </c>
      <c r="D261" s="1" t="s">
        <v>410</v>
      </c>
      <c r="E261" s="1" t="s">
        <v>201</v>
      </c>
      <c r="F261" s="1" t="s">
        <v>9</v>
      </c>
      <c r="G261" s="2">
        <v>2005</v>
      </c>
      <c r="H261" s="1" t="s">
        <v>22</v>
      </c>
      <c r="I261" s="1" t="s">
        <v>202</v>
      </c>
      <c r="J261" s="1" t="s">
        <v>16</v>
      </c>
      <c r="K261" s="3" t="s">
        <v>27</v>
      </c>
      <c r="L261" s="4">
        <v>39</v>
      </c>
      <c r="M261" s="4">
        <v>36</v>
      </c>
      <c r="N261" s="5">
        <v>92.3</v>
      </c>
      <c r="O261" s="4">
        <v>39</v>
      </c>
      <c r="P261" s="4">
        <v>7</v>
      </c>
      <c r="Q261" s="5">
        <v>17.899999999999999</v>
      </c>
      <c r="R261" s="2">
        <v>93</v>
      </c>
      <c r="HZ261" s="34"/>
    </row>
    <row r="262" spans="1:234" ht="15" customHeight="1">
      <c r="A262" s="66" t="s">
        <v>200</v>
      </c>
      <c r="B262" s="2">
        <v>2017</v>
      </c>
      <c r="C262" s="1" t="s">
        <v>8</v>
      </c>
      <c r="D262" s="1" t="s">
        <v>410</v>
      </c>
      <c r="E262" s="1" t="s">
        <v>201</v>
      </c>
      <c r="F262" s="1" t="s">
        <v>9</v>
      </c>
      <c r="G262" s="2">
        <v>2005</v>
      </c>
      <c r="H262" s="1" t="s">
        <v>22</v>
      </c>
      <c r="I262" s="1" t="s">
        <v>202</v>
      </c>
      <c r="J262" s="1" t="s">
        <v>16</v>
      </c>
      <c r="K262" s="3" t="s">
        <v>28</v>
      </c>
      <c r="L262" s="4">
        <v>53</v>
      </c>
      <c r="M262" s="4">
        <v>44</v>
      </c>
      <c r="N262" s="5">
        <v>83</v>
      </c>
      <c r="O262" s="4">
        <v>53</v>
      </c>
      <c r="P262" s="4">
        <v>9</v>
      </c>
      <c r="Q262" s="5">
        <v>17</v>
      </c>
      <c r="R262" s="2">
        <v>93</v>
      </c>
      <c r="HZ262" s="34"/>
    </row>
    <row r="263" spans="1:234" ht="15" customHeight="1">
      <c r="A263" s="66" t="s">
        <v>200</v>
      </c>
      <c r="B263" s="2">
        <v>2017</v>
      </c>
      <c r="C263" s="1" t="s">
        <v>8</v>
      </c>
      <c r="D263" s="1" t="s">
        <v>410</v>
      </c>
      <c r="E263" s="1" t="s">
        <v>201</v>
      </c>
      <c r="F263" s="1" t="s">
        <v>9</v>
      </c>
      <c r="G263" s="2">
        <v>2005</v>
      </c>
      <c r="H263" s="1" t="s">
        <v>22</v>
      </c>
      <c r="I263" s="1" t="s">
        <v>202</v>
      </c>
      <c r="J263" s="1" t="s">
        <v>16</v>
      </c>
      <c r="K263" s="3" t="s">
        <v>46</v>
      </c>
      <c r="L263" s="4">
        <v>98</v>
      </c>
      <c r="M263" s="4">
        <v>85</v>
      </c>
      <c r="N263" s="5">
        <v>86.7</v>
      </c>
      <c r="O263" s="4">
        <v>98</v>
      </c>
      <c r="P263" s="4">
        <v>15</v>
      </c>
      <c r="Q263" s="5">
        <v>15.3</v>
      </c>
      <c r="R263" s="2">
        <v>93</v>
      </c>
      <c r="HZ263" s="34"/>
    </row>
    <row r="264" spans="1:234" ht="15" customHeight="1">
      <c r="A264" s="66" t="s">
        <v>200</v>
      </c>
      <c r="B264" s="2">
        <v>2017</v>
      </c>
      <c r="C264" s="1" t="s">
        <v>8</v>
      </c>
      <c r="D264" s="1" t="s">
        <v>410</v>
      </c>
      <c r="E264" s="1" t="s">
        <v>201</v>
      </c>
      <c r="F264" s="1" t="s">
        <v>9</v>
      </c>
      <c r="G264" s="2">
        <v>2005</v>
      </c>
      <c r="H264" s="1" t="s">
        <v>22</v>
      </c>
      <c r="I264" s="1" t="s">
        <v>202</v>
      </c>
      <c r="J264" s="1" t="s">
        <v>16</v>
      </c>
      <c r="K264" s="3" t="s">
        <v>205</v>
      </c>
      <c r="L264" s="4">
        <v>290</v>
      </c>
      <c r="M264" s="4">
        <v>269</v>
      </c>
      <c r="N264" s="5">
        <v>92.8</v>
      </c>
      <c r="O264" s="4">
        <v>290</v>
      </c>
      <c r="P264" s="4">
        <v>35</v>
      </c>
      <c r="Q264" s="5">
        <v>12.1</v>
      </c>
      <c r="R264" s="2">
        <v>93</v>
      </c>
      <c r="HZ264" s="34"/>
    </row>
    <row r="265" spans="1:234" ht="15" customHeight="1">
      <c r="A265" s="66" t="s">
        <v>200</v>
      </c>
      <c r="B265" s="2">
        <v>2017</v>
      </c>
      <c r="C265" s="1" t="s">
        <v>8</v>
      </c>
      <c r="D265" s="1" t="s">
        <v>410</v>
      </c>
      <c r="E265" s="1" t="s">
        <v>201</v>
      </c>
      <c r="F265" s="1" t="s">
        <v>9</v>
      </c>
      <c r="G265" s="2">
        <v>2005</v>
      </c>
      <c r="H265" s="1" t="s">
        <v>22</v>
      </c>
      <c r="I265" s="1" t="s">
        <v>202</v>
      </c>
      <c r="J265" s="1" t="s">
        <v>23</v>
      </c>
      <c r="K265" s="3" t="s">
        <v>203</v>
      </c>
      <c r="L265" s="4">
        <v>281</v>
      </c>
      <c r="M265" s="4">
        <v>231</v>
      </c>
      <c r="N265" s="5">
        <v>82.2</v>
      </c>
      <c r="O265" s="4">
        <v>281</v>
      </c>
      <c r="P265" s="4">
        <v>25</v>
      </c>
      <c r="Q265" s="5">
        <v>8.9</v>
      </c>
      <c r="R265" s="2">
        <v>93</v>
      </c>
      <c r="HZ265" s="34"/>
    </row>
    <row r="266" spans="1:234" ht="15" customHeight="1">
      <c r="A266" s="66" t="s">
        <v>200</v>
      </c>
      <c r="B266" s="2">
        <v>2017</v>
      </c>
      <c r="C266" s="1" t="s">
        <v>8</v>
      </c>
      <c r="D266" s="1" t="s">
        <v>410</v>
      </c>
      <c r="E266" s="1" t="s">
        <v>201</v>
      </c>
      <c r="F266" s="1" t="s">
        <v>9</v>
      </c>
      <c r="G266" s="2">
        <v>2005</v>
      </c>
      <c r="H266" s="1" t="s">
        <v>22</v>
      </c>
      <c r="I266" s="1" t="s">
        <v>202</v>
      </c>
      <c r="J266" s="1" t="s">
        <v>23</v>
      </c>
      <c r="K266" s="3" t="s">
        <v>204</v>
      </c>
      <c r="L266" s="4">
        <v>39</v>
      </c>
      <c r="M266" s="4">
        <v>21</v>
      </c>
      <c r="N266" s="5">
        <v>53.8</v>
      </c>
      <c r="O266" s="4">
        <v>39</v>
      </c>
      <c r="P266" s="4">
        <v>1</v>
      </c>
      <c r="Q266" s="5">
        <v>2.6</v>
      </c>
      <c r="R266" s="2">
        <v>93</v>
      </c>
      <c r="HZ266" s="34"/>
    </row>
    <row r="267" spans="1:234" ht="15" customHeight="1">
      <c r="A267" s="66" t="s">
        <v>200</v>
      </c>
      <c r="B267" s="2">
        <v>2017</v>
      </c>
      <c r="C267" s="1" t="s">
        <v>8</v>
      </c>
      <c r="D267" s="1" t="s">
        <v>410</v>
      </c>
      <c r="E267" s="1" t="s">
        <v>201</v>
      </c>
      <c r="F267" s="1" t="s">
        <v>9</v>
      </c>
      <c r="G267" s="2">
        <v>2005</v>
      </c>
      <c r="H267" s="1" t="s">
        <v>22</v>
      </c>
      <c r="I267" s="1" t="s">
        <v>202</v>
      </c>
      <c r="J267" s="1" t="s">
        <v>23</v>
      </c>
      <c r="K267" s="3" t="s">
        <v>24</v>
      </c>
      <c r="L267" s="4">
        <v>10</v>
      </c>
      <c r="M267" s="4">
        <v>6</v>
      </c>
      <c r="N267" s="5">
        <v>60</v>
      </c>
      <c r="O267" s="4">
        <v>10</v>
      </c>
      <c r="P267" s="4">
        <v>1</v>
      </c>
      <c r="Q267" s="5">
        <v>10</v>
      </c>
      <c r="R267" s="2">
        <v>93</v>
      </c>
      <c r="HZ267" s="34"/>
    </row>
    <row r="268" spans="1:234" ht="15" customHeight="1">
      <c r="A268" s="66" t="s">
        <v>200</v>
      </c>
      <c r="B268" s="2">
        <v>2017</v>
      </c>
      <c r="C268" s="1" t="s">
        <v>8</v>
      </c>
      <c r="D268" s="1" t="s">
        <v>410</v>
      </c>
      <c r="E268" s="1" t="s">
        <v>201</v>
      </c>
      <c r="F268" s="1" t="s">
        <v>9</v>
      </c>
      <c r="G268" s="2">
        <v>2005</v>
      </c>
      <c r="H268" s="1" t="s">
        <v>22</v>
      </c>
      <c r="I268" s="1" t="s">
        <v>202</v>
      </c>
      <c r="J268" s="1" t="s">
        <v>23</v>
      </c>
      <c r="K268" s="3" t="s">
        <v>25</v>
      </c>
      <c r="L268" s="4">
        <v>10</v>
      </c>
      <c r="M268" s="4">
        <v>6</v>
      </c>
      <c r="N268" s="5">
        <v>60</v>
      </c>
      <c r="O268" s="4">
        <v>10</v>
      </c>
      <c r="P268" s="4">
        <v>1</v>
      </c>
      <c r="Q268" s="5">
        <v>10</v>
      </c>
      <c r="R268" s="2">
        <v>93</v>
      </c>
      <c r="HZ268" s="34"/>
    </row>
    <row r="269" spans="1:234" ht="15" customHeight="1">
      <c r="A269" s="66" t="s">
        <v>200</v>
      </c>
      <c r="B269" s="2">
        <v>2017</v>
      </c>
      <c r="C269" s="1" t="s">
        <v>8</v>
      </c>
      <c r="D269" s="1" t="s">
        <v>410</v>
      </c>
      <c r="E269" s="1" t="s">
        <v>201</v>
      </c>
      <c r="F269" s="1" t="s">
        <v>9</v>
      </c>
      <c r="G269" s="2">
        <v>2005</v>
      </c>
      <c r="H269" s="1" t="s">
        <v>22</v>
      </c>
      <c r="I269" s="1" t="s">
        <v>202</v>
      </c>
      <c r="J269" s="1" t="s">
        <v>23</v>
      </c>
      <c r="K269" s="3" t="s">
        <v>26</v>
      </c>
      <c r="L269" s="4">
        <v>7</v>
      </c>
      <c r="M269" s="4">
        <v>5</v>
      </c>
      <c r="N269" s="5">
        <v>71.400000000000006</v>
      </c>
      <c r="O269" s="4">
        <v>7</v>
      </c>
      <c r="P269" s="4">
        <v>1</v>
      </c>
      <c r="Q269" s="5">
        <v>14.3</v>
      </c>
      <c r="R269" s="2">
        <v>93</v>
      </c>
      <c r="HZ269" s="34"/>
    </row>
    <row r="270" spans="1:234" ht="15" customHeight="1">
      <c r="A270" s="66" t="s">
        <v>200</v>
      </c>
      <c r="B270" s="2">
        <v>2017</v>
      </c>
      <c r="C270" s="1" t="s">
        <v>8</v>
      </c>
      <c r="D270" s="1" t="s">
        <v>410</v>
      </c>
      <c r="E270" s="1" t="s">
        <v>201</v>
      </c>
      <c r="F270" s="1" t="s">
        <v>9</v>
      </c>
      <c r="G270" s="2">
        <v>2005</v>
      </c>
      <c r="H270" s="1" t="s">
        <v>22</v>
      </c>
      <c r="I270" s="1" t="s">
        <v>202</v>
      </c>
      <c r="J270" s="1" t="s">
        <v>23</v>
      </c>
      <c r="K270" s="3" t="s">
        <v>27</v>
      </c>
      <c r="L270" s="4">
        <v>11</v>
      </c>
      <c r="M270" s="4">
        <v>9</v>
      </c>
      <c r="N270" s="5">
        <v>81.8</v>
      </c>
      <c r="O270" s="4">
        <v>11</v>
      </c>
      <c r="P270" s="4">
        <v>3</v>
      </c>
      <c r="Q270" s="5">
        <v>27.3</v>
      </c>
      <c r="R270" s="2">
        <v>93</v>
      </c>
      <c r="HZ270" s="34"/>
    </row>
    <row r="271" spans="1:234" ht="15" customHeight="1">
      <c r="A271" s="66" t="s">
        <v>200</v>
      </c>
      <c r="B271" s="2">
        <v>2017</v>
      </c>
      <c r="C271" s="1" t="s">
        <v>8</v>
      </c>
      <c r="D271" s="1" t="s">
        <v>410</v>
      </c>
      <c r="E271" s="1" t="s">
        <v>201</v>
      </c>
      <c r="F271" s="1" t="s">
        <v>9</v>
      </c>
      <c r="G271" s="2">
        <v>2005</v>
      </c>
      <c r="H271" s="1" t="s">
        <v>22</v>
      </c>
      <c r="I271" s="1" t="s">
        <v>202</v>
      </c>
      <c r="J271" s="1" t="s">
        <v>23</v>
      </c>
      <c r="K271" s="3" t="s">
        <v>28</v>
      </c>
      <c r="L271" s="4">
        <v>16</v>
      </c>
      <c r="M271" s="4">
        <v>15</v>
      </c>
      <c r="N271" s="5">
        <v>93.7</v>
      </c>
      <c r="O271" s="4">
        <v>16</v>
      </c>
      <c r="P271" s="4">
        <v>2</v>
      </c>
      <c r="Q271" s="5">
        <v>12.5</v>
      </c>
      <c r="R271" s="2">
        <v>93</v>
      </c>
      <c r="HZ271" s="34"/>
    </row>
    <row r="272" spans="1:234" ht="15" customHeight="1">
      <c r="A272" s="66" t="s">
        <v>200</v>
      </c>
      <c r="B272" s="2">
        <v>2017</v>
      </c>
      <c r="C272" s="1" t="s">
        <v>8</v>
      </c>
      <c r="D272" s="1" t="s">
        <v>410</v>
      </c>
      <c r="E272" s="1" t="s">
        <v>201</v>
      </c>
      <c r="F272" s="1" t="s">
        <v>9</v>
      </c>
      <c r="G272" s="2">
        <v>2005</v>
      </c>
      <c r="H272" s="1" t="s">
        <v>22</v>
      </c>
      <c r="I272" s="1" t="s">
        <v>202</v>
      </c>
      <c r="J272" s="1" t="s">
        <v>23</v>
      </c>
      <c r="K272" s="3" t="s">
        <v>46</v>
      </c>
      <c r="L272" s="4">
        <v>39</v>
      </c>
      <c r="M272" s="4">
        <v>31</v>
      </c>
      <c r="N272" s="5">
        <v>79.5</v>
      </c>
      <c r="O272" s="4">
        <v>39</v>
      </c>
      <c r="P272" s="4">
        <v>1</v>
      </c>
      <c r="Q272" s="5">
        <v>2.6</v>
      </c>
      <c r="R272" s="2">
        <v>93</v>
      </c>
      <c r="HZ272" s="34"/>
    </row>
    <row r="273" spans="1:234" ht="15" customHeight="1">
      <c r="A273" s="66" t="s">
        <v>200</v>
      </c>
      <c r="B273" s="2">
        <v>2017</v>
      </c>
      <c r="C273" s="1" t="s">
        <v>8</v>
      </c>
      <c r="D273" s="1" t="s">
        <v>410</v>
      </c>
      <c r="E273" s="1" t="s">
        <v>201</v>
      </c>
      <c r="F273" s="1" t="s">
        <v>9</v>
      </c>
      <c r="G273" s="2">
        <v>2005</v>
      </c>
      <c r="H273" s="1" t="s">
        <v>22</v>
      </c>
      <c r="I273" s="1" t="s">
        <v>202</v>
      </c>
      <c r="J273" s="1" t="s">
        <v>23</v>
      </c>
      <c r="K273" s="3" t="s">
        <v>205</v>
      </c>
      <c r="L273" s="4">
        <v>149</v>
      </c>
      <c r="M273" s="4">
        <v>138</v>
      </c>
      <c r="N273" s="5">
        <v>92.6</v>
      </c>
      <c r="O273" s="4">
        <v>149</v>
      </c>
      <c r="P273" s="4">
        <v>15</v>
      </c>
      <c r="Q273" s="5">
        <v>10.1</v>
      </c>
      <c r="R273" s="2">
        <v>93</v>
      </c>
      <c r="HZ273" s="34"/>
    </row>
    <row r="274" spans="1:234" ht="15" customHeight="1">
      <c r="A274" s="66" t="s">
        <v>200</v>
      </c>
      <c r="B274" s="2">
        <v>2017</v>
      </c>
      <c r="C274" s="1" t="s">
        <v>8</v>
      </c>
      <c r="D274" s="1" t="s">
        <v>410</v>
      </c>
      <c r="E274" s="1" t="s">
        <v>201</v>
      </c>
      <c r="F274" s="1" t="s">
        <v>9</v>
      </c>
      <c r="G274" s="2">
        <v>2005</v>
      </c>
      <c r="H274" s="1" t="s">
        <v>22</v>
      </c>
      <c r="I274" s="1" t="s">
        <v>202</v>
      </c>
      <c r="J274" s="1" t="s">
        <v>11</v>
      </c>
      <c r="K274" s="3" t="s">
        <v>203</v>
      </c>
      <c r="L274" s="4">
        <v>334</v>
      </c>
      <c r="M274" s="4">
        <v>284</v>
      </c>
      <c r="N274" s="5">
        <v>85</v>
      </c>
      <c r="O274" s="4">
        <v>334</v>
      </c>
      <c r="P274" s="4">
        <v>55</v>
      </c>
      <c r="Q274" s="5">
        <v>16.5</v>
      </c>
      <c r="R274" s="2">
        <v>93</v>
      </c>
      <c r="HZ274" s="34"/>
    </row>
    <row r="275" spans="1:234" ht="15" customHeight="1">
      <c r="A275" s="66" t="s">
        <v>200</v>
      </c>
      <c r="B275" s="2">
        <v>2017</v>
      </c>
      <c r="C275" s="1" t="s">
        <v>8</v>
      </c>
      <c r="D275" s="1" t="s">
        <v>410</v>
      </c>
      <c r="E275" s="1" t="s">
        <v>201</v>
      </c>
      <c r="F275" s="1" t="s">
        <v>9</v>
      </c>
      <c r="G275" s="2">
        <v>2005</v>
      </c>
      <c r="H275" s="1" t="s">
        <v>22</v>
      </c>
      <c r="I275" s="1" t="s">
        <v>202</v>
      </c>
      <c r="J275" s="1" t="s">
        <v>11</v>
      </c>
      <c r="K275" s="3" t="s">
        <v>204</v>
      </c>
      <c r="L275" s="4">
        <v>19</v>
      </c>
      <c r="M275" s="4">
        <v>9</v>
      </c>
      <c r="N275" s="5">
        <v>47.4</v>
      </c>
      <c r="O275" s="4">
        <v>19</v>
      </c>
      <c r="P275" s="4">
        <v>1</v>
      </c>
      <c r="Q275" s="5">
        <v>5.3</v>
      </c>
      <c r="R275" s="2">
        <v>93</v>
      </c>
      <c r="HZ275" s="34"/>
    </row>
    <row r="276" spans="1:234" ht="15" customHeight="1">
      <c r="A276" s="66" t="s">
        <v>200</v>
      </c>
      <c r="B276" s="2">
        <v>2017</v>
      </c>
      <c r="C276" s="1" t="s">
        <v>8</v>
      </c>
      <c r="D276" s="1" t="s">
        <v>410</v>
      </c>
      <c r="E276" s="1" t="s">
        <v>201</v>
      </c>
      <c r="F276" s="1" t="s">
        <v>9</v>
      </c>
      <c r="G276" s="2">
        <v>2005</v>
      </c>
      <c r="H276" s="1" t="s">
        <v>22</v>
      </c>
      <c r="I276" s="1" t="s">
        <v>202</v>
      </c>
      <c r="J276" s="1" t="s">
        <v>11</v>
      </c>
      <c r="K276" s="3" t="s">
        <v>24</v>
      </c>
      <c r="L276" s="4">
        <v>10</v>
      </c>
      <c r="M276" s="4">
        <v>1</v>
      </c>
      <c r="N276" s="5">
        <v>10</v>
      </c>
      <c r="O276" s="4">
        <v>10</v>
      </c>
      <c r="P276" s="4">
        <v>1</v>
      </c>
      <c r="Q276" s="5">
        <v>10</v>
      </c>
      <c r="R276" s="2">
        <v>93</v>
      </c>
      <c r="HZ276" s="34"/>
    </row>
    <row r="277" spans="1:234" ht="15" customHeight="1">
      <c r="A277" s="66" t="s">
        <v>200</v>
      </c>
      <c r="B277" s="2">
        <v>2017</v>
      </c>
      <c r="C277" s="1" t="s">
        <v>8</v>
      </c>
      <c r="D277" s="1" t="s">
        <v>410</v>
      </c>
      <c r="E277" s="1" t="s">
        <v>201</v>
      </c>
      <c r="F277" s="1" t="s">
        <v>9</v>
      </c>
      <c r="G277" s="2">
        <v>2005</v>
      </c>
      <c r="H277" s="1" t="s">
        <v>22</v>
      </c>
      <c r="I277" s="1" t="s">
        <v>202</v>
      </c>
      <c r="J277" s="1" t="s">
        <v>11</v>
      </c>
      <c r="K277" s="3" t="s">
        <v>25</v>
      </c>
      <c r="L277" s="4">
        <v>11</v>
      </c>
      <c r="M277" s="4">
        <v>8</v>
      </c>
      <c r="N277" s="5">
        <v>72.7</v>
      </c>
      <c r="O277" s="4">
        <v>11</v>
      </c>
      <c r="P277" s="4">
        <v>1</v>
      </c>
      <c r="Q277" s="5">
        <v>9.1</v>
      </c>
      <c r="R277" s="2">
        <v>93</v>
      </c>
      <c r="HZ277" s="34"/>
    </row>
    <row r="278" spans="1:234" ht="15" customHeight="1">
      <c r="A278" s="66" t="s">
        <v>200</v>
      </c>
      <c r="B278" s="2">
        <v>2017</v>
      </c>
      <c r="C278" s="1" t="s">
        <v>8</v>
      </c>
      <c r="D278" s="1" t="s">
        <v>410</v>
      </c>
      <c r="E278" s="1" t="s">
        <v>201</v>
      </c>
      <c r="F278" s="1" t="s">
        <v>9</v>
      </c>
      <c r="G278" s="2">
        <v>2005</v>
      </c>
      <c r="H278" s="1" t="s">
        <v>22</v>
      </c>
      <c r="I278" s="1" t="s">
        <v>202</v>
      </c>
      <c r="J278" s="1" t="s">
        <v>11</v>
      </c>
      <c r="K278" s="3" t="s">
        <v>26</v>
      </c>
      <c r="L278" s="4">
        <v>29</v>
      </c>
      <c r="M278" s="4">
        <v>25</v>
      </c>
      <c r="N278" s="5">
        <v>86.2</v>
      </c>
      <c r="O278" s="4">
        <v>29</v>
      </c>
      <c r="P278" s="4">
        <v>7</v>
      </c>
      <c r="Q278" s="5">
        <v>24.1</v>
      </c>
      <c r="R278" s="2">
        <v>93</v>
      </c>
      <c r="HZ278" s="34"/>
    </row>
    <row r="279" spans="1:234" ht="15" customHeight="1">
      <c r="A279" s="66" t="s">
        <v>200</v>
      </c>
      <c r="B279" s="2">
        <v>2017</v>
      </c>
      <c r="C279" s="1" t="s">
        <v>8</v>
      </c>
      <c r="D279" s="1" t="s">
        <v>410</v>
      </c>
      <c r="E279" s="1" t="s">
        <v>201</v>
      </c>
      <c r="F279" s="1" t="s">
        <v>9</v>
      </c>
      <c r="G279" s="2">
        <v>2005</v>
      </c>
      <c r="H279" s="1" t="s">
        <v>22</v>
      </c>
      <c r="I279" s="1" t="s">
        <v>202</v>
      </c>
      <c r="J279" s="1" t="s">
        <v>11</v>
      </c>
      <c r="K279" s="3" t="s">
        <v>27</v>
      </c>
      <c r="L279" s="4">
        <v>28</v>
      </c>
      <c r="M279" s="4">
        <v>27</v>
      </c>
      <c r="N279" s="5">
        <v>96.4</v>
      </c>
      <c r="O279" s="4">
        <v>28</v>
      </c>
      <c r="P279" s="4">
        <v>4</v>
      </c>
      <c r="Q279" s="5">
        <v>14.3</v>
      </c>
      <c r="R279" s="2">
        <v>93</v>
      </c>
      <c r="HZ279" s="34"/>
    </row>
    <row r="280" spans="1:234" ht="15" customHeight="1">
      <c r="A280" s="66" t="s">
        <v>200</v>
      </c>
      <c r="B280" s="2">
        <v>2017</v>
      </c>
      <c r="C280" s="1" t="s">
        <v>8</v>
      </c>
      <c r="D280" s="1" t="s">
        <v>410</v>
      </c>
      <c r="E280" s="1" t="s">
        <v>201</v>
      </c>
      <c r="F280" s="1" t="s">
        <v>9</v>
      </c>
      <c r="G280" s="2">
        <v>2005</v>
      </c>
      <c r="H280" s="1" t="s">
        <v>22</v>
      </c>
      <c r="I280" s="1" t="s">
        <v>202</v>
      </c>
      <c r="J280" s="1" t="s">
        <v>11</v>
      </c>
      <c r="K280" s="3" t="s">
        <v>28</v>
      </c>
      <c r="L280" s="4">
        <v>37</v>
      </c>
      <c r="M280" s="4">
        <v>29</v>
      </c>
      <c r="N280" s="5">
        <v>78.400000000000006</v>
      </c>
      <c r="O280" s="4">
        <v>37</v>
      </c>
      <c r="P280" s="4">
        <v>7</v>
      </c>
      <c r="Q280" s="5">
        <v>18.899999999999999</v>
      </c>
      <c r="R280" s="2">
        <v>93</v>
      </c>
      <c r="HZ280" s="34"/>
    </row>
    <row r="281" spans="1:234" ht="15" customHeight="1">
      <c r="A281" s="66" t="s">
        <v>200</v>
      </c>
      <c r="B281" s="2">
        <v>2017</v>
      </c>
      <c r="C281" s="1" t="s">
        <v>8</v>
      </c>
      <c r="D281" s="1" t="s">
        <v>410</v>
      </c>
      <c r="E281" s="1" t="s">
        <v>201</v>
      </c>
      <c r="F281" s="1" t="s">
        <v>9</v>
      </c>
      <c r="G281" s="2">
        <v>2005</v>
      </c>
      <c r="H281" s="1" t="s">
        <v>22</v>
      </c>
      <c r="I281" s="1" t="s">
        <v>202</v>
      </c>
      <c r="J281" s="1" t="s">
        <v>11</v>
      </c>
      <c r="K281" s="3" t="s">
        <v>46</v>
      </c>
      <c r="L281" s="4">
        <v>59</v>
      </c>
      <c r="M281" s="4">
        <v>54</v>
      </c>
      <c r="N281" s="5">
        <v>91.5</v>
      </c>
      <c r="O281" s="4">
        <v>59</v>
      </c>
      <c r="P281" s="4">
        <v>14</v>
      </c>
      <c r="Q281" s="5">
        <v>23.7</v>
      </c>
      <c r="R281" s="2">
        <v>93</v>
      </c>
      <c r="HZ281" s="34"/>
    </row>
    <row r="282" spans="1:234" ht="15" customHeight="1">
      <c r="A282" s="66" t="s">
        <v>200</v>
      </c>
      <c r="B282" s="2">
        <v>2017</v>
      </c>
      <c r="C282" s="1" t="s">
        <v>8</v>
      </c>
      <c r="D282" s="1" t="s">
        <v>410</v>
      </c>
      <c r="E282" s="1" t="s">
        <v>201</v>
      </c>
      <c r="F282" s="1" t="s">
        <v>9</v>
      </c>
      <c r="G282" s="2">
        <v>2005</v>
      </c>
      <c r="H282" s="1" t="s">
        <v>22</v>
      </c>
      <c r="I282" s="1" t="s">
        <v>202</v>
      </c>
      <c r="J282" s="1" t="s">
        <v>11</v>
      </c>
      <c r="K282" s="3" t="s">
        <v>205</v>
      </c>
      <c r="L282" s="4">
        <v>141</v>
      </c>
      <c r="M282" s="4">
        <v>131</v>
      </c>
      <c r="N282" s="5">
        <v>92.9</v>
      </c>
      <c r="O282" s="4">
        <v>141</v>
      </c>
      <c r="P282" s="4">
        <v>20</v>
      </c>
      <c r="Q282" s="5">
        <v>14.2</v>
      </c>
      <c r="R282" s="2">
        <v>93</v>
      </c>
      <c r="HZ282" s="34"/>
    </row>
    <row r="283" spans="1:234" ht="15" customHeight="1">
      <c r="A283" s="66" t="s">
        <v>200</v>
      </c>
      <c r="B283" s="2">
        <v>2017</v>
      </c>
      <c r="C283" s="1" t="s">
        <v>8</v>
      </c>
      <c r="D283" s="1" t="s">
        <v>410</v>
      </c>
      <c r="E283" s="1" t="s">
        <v>201</v>
      </c>
      <c r="F283" s="1" t="s">
        <v>9</v>
      </c>
      <c r="G283" s="1" t="s">
        <v>198</v>
      </c>
      <c r="H283" s="1" t="s">
        <v>22</v>
      </c>
      <c r="I283" s="1" t="s">
        <v>202</v>
      </c>
      <c r="J283" s="1" t="s">
        <v>16</v>
      </c>
      <c r="K283" s="3" t="s">
        <v>203</v>
      </c>
      <c r="L283" s="4">
        <v>497</v>
      </c>
      <c r="M283" s="4">
        <v>348</v>
      </c>
      <c r="N283" s="5">
        <v>70</v>
      </c>
      <c r="O283" s="4">
        <v>497</v>
      </c>
      <c r="P283" s="4">
        <v>57</v>
      </c>
      <c r="Q283" s="5">
        <v>11.5</v>
      </c>
      <c r="R283" s="2">
        <v>93</v>
      </c>
      <c r="HZ283" s="34"/>
    </row>
    <row r="284" spans="1:234" ht="15" customHeight="1">
      <c r="A284" s="66" t="s">
        <v>200</v>
      </c>
      <c r="B284" s="2">
        <v>2017</v>
      </c>
      <c r="C284" s="1" t="s">
        <v>8</v>
      </c>
      <c r="D284" s="1" t="s">
        <v>410</v>
      </c>
      <c r="E284" s="1" t="s">
        <v>201</v>
      </c>
      <c r="F284" s="1" t="s">
        <v>9</v>
      </c>
      <c r="G284" s="1" t="s">
        <v>198</v>
      </c>
      <c r="H284" s="1" t="s">
        <v>22</v>
      </c>
      <c r="I284" s="1" t="s">
        <v>202</v>
      </c>
      <c r="J284" s="1" t="s">
        <v>16</v>
      </c>
      <c r="K284" s="3" t="s">
        <v>204</v>
      </c>
      <c r="L284" s="4">
        <v>15</v>
      </c>
      <c r="M284" s="4">
        <v>6</v>
      </c>
      <c r="N284" s="5">
        <v>40</v>
      </c>
      <c r="O284" s="4">
        <v>15</v>
      </c>
      <c r="P284" s="4">
        <v>0</v>
      </c>
      <c r="Q284" s="5">
        <v>0</v>
      </c>
      <c r="R284" s="2">
        <v>93</v>
      </c>
      <c r="HZ284" s="34"/>
    </row>
    <row r="285" spans="1:234" ht="15" customHeight="1">
      <c r="A285" s="66" t="s">
        <v>200</v>
      </c>
      <c r="B285" s="2">
        <v>2017</v>
      </c>
      <c r="C285" s="1" t="s">
        <v>8</v>
      </c>
      <c r="D285" s="1" t="s">
        <v>410</v>
      </c>
      <c r="E285" s="1" t="s">
        <v>201</v>
      </c>
      <c r="F285" s="1" t="s">
        <v>9</v>
      </c>
      <c r="G285" s="1" t="s">
        <v>198</v>
      </c>
      <c r="H285" s="1" t="s">
        <v>22</v>
      </c>
      <c r="I285" s="1" t="s">
        <v>202</v>
      </c>
      <c r="J285" s="1" t="s">
        <v>16</v>
      </c>
      <c r="K285" s="3" t="s">
        <v>24</v>
      </c>
      <c r="L285" s="4">
        <v>22</v>
      </c>
      <c r="M285" s="4">
        <v>6</v>
      </c>
      <c r="N285" s="5">
        <v>27.3</v>
      </c>
      <c r="O285" s="4">
        <v>22</v>
      </c>
      <c r="P285" s="4">
        <v>0</v>
      </c>
      <c r="Q285" s="5">
        <v>0</v>
      </c>
      <c r="R285" s="2">
        <v>93</v>
      </c>
      <c r="HZ285" s="34"/>
    </row>
    <row r="286" spans="1:234" ht="15" customHeight="1">
      <c r="A286" s="66" t="s">
        <v>200</v>
      </c>
      <c r="B286" s="2">
        <v>2017</v>
      </c>
      <c r="C286" s="1" t="s">
        <v>8</v>
      </c>
      <c r="D286" s="1" t="s">
        <v>410</v>
      </c>
      <c r="E286" s="1" t="s">
        <v>201</v>
      </c>
      <c r="F286" s="1" t="s">
        <v>9</v>
      </c>
      <c r="G286" s="1" t="s">
        <v>198</v>
      </c>
      <c r="H286" s="1" t="s">
        <v>22</v>
      </c>
      <c r="I286" s="1" t="s">
        <v>202</v>
      </c>
      <c r="J286" s="1" t="s">
        <v>16</v>
      </c>
      <c r="K286" s="3" t="s">
        <v>25</v>
      </c>
      <c r="L286" s="4">
        <v>45</v>
      </c>
      <c r="M286" s="4">
        <v>16</v>
      </c>
      <c r="N286" s="5">
        <v>35.6</v>
      </c>
      <c r="O286" s="4">
        <v>45</v>
      </c>
      <c r="P286" s="4">
        <v>5</v>
      </c>
      <c r="Q286" s="5">
        <v>11.1</v>
      </c>
      <c r="R286" s="2">
        <v>93</v>
      </c>
      <c r="HZ286" s="34"/>
    </row>
    <row r="287" spans="1:234" ht="15" customHeight="1">
      <c r="A287" s="66" t="s">
        <v>200</v>
      </c>
      <c r="B287" s="2">
        <v>2017</v>
      </c>
      <c r="C287" s="1" t="s">
        <v>8</v>
      </c>
      <c r="D287" s="1" t="s">
        <v>410</v>
      </c>
      <c r="E287" s="1" t="s">
        <v>201</v>
      </c>
      <c r="F287" s="1" t="s">
        <v>9</v>
      </c>
      <c r="G287" s="1" t="s">
        <v>198</v>
      </c>
      <c r="H287" s="1" t="s">
        <v>22</v>
      </c>
      <c r="I287" s="1" t="s">
        <v>202</v>
      </c>
      <c r="J287" s="1" t="s">
        <v>16</v>
      </c>
      <c r="K287" s="3" t="s">
        <v>26</v>
      </c>
      <c r="L287" s="4">
        <v>49</v>
      </c>
      <c r="M287" s="4">
        <v>36</v>
      </c>
      <c r="N287" s="5">
        <v>73.5</v>
      </c>
      <c r="O287" s="4">
        <v>49</v>
      </c>
      <c r="P287" s="4">
        <v>5</v>
      </c>
      <c r="Q287" s="5">
        <v>10.199999999999999</v>
      </c>
      <c r="R287" s="2">
        <v>93</v>
      </c>
      <c r="HZ287" s="34"/>
    </row>
    <row r="288" spans="1:234" ht="15" customHeight="1">
      <c r="A288" s="66" t="s">
        <v>200</v>
      </c>
      <c r="B288" s="2">
        <v>2017</v>
      </c>
      <c r="C288" s="1" t="s">
        <v>8</v>
      </c>
      <c r="D288" s="1" t="s">
        <v>410</v>
      </c>
      <c r="E288" s="1" t="s">
        <v>201</v>
      </c>
      <c r="F288" s="1" t="s">
        <v>9</v>
      </c>
      <c r="G288" s="1" t="s">
        <v>198</v>
      </c>
      <c r="H288" s="1" t="s">
        <v>22</v>
      </c>
      <c r="I288" s="1" t="s">
        <v>202</v>
      </c>
      <c r="J288" s="1" t="s">
        <v>16</v>
      </c>
      <c r="K288" s="3" t="s">
        <v>27</v>
      </c>
      <c r="L288" s="4">
        <v>50</v>
      </c>
      <c r="M288" s="4">
        <v>38</v>
      </c>
      <c r="N288" s="5">
        <v>76</v>
      </c>
      <c r="O288" s="4">
        <v>50</v>
      </c>
      <c r="P288" s="4">
        <v>1</v>
      </c>
      <c r="Q288" s="5">
        <v>2</v>
      </c>
      <c r="R288" s="2">
        <v>93</v>
      </c>
      <c r="HZ288" s="34"/>
    </row>
    <row r="289" spans="1:234" ht="15" customHeight="1">
      <c r="A289" s="66" t="s">
        <v>200</v>
      </c>
      <c r="B289" s="2">
        <v>2017</v>
      </c>
      <c r="C289" s="1" t="s">
        <v>8</v>
      </c>
      <c r="D289" s="1" t="s">
        <v>410</v>
      </c>
      <c r="E289" s="1" t="s">
        <v>201</v>
      </c>
      <c r="F289" s="1" t="s">
        <v>9</v>
      </c>
      <c r="G289" s="1" t="s">
        <v>198</v>
      </c>
      <c r="H289" s="1" t="s">
        <v>22</v>
      </c>
      <c r="I289" s="1" t="s">
        <v>202</v>
      </c>
      <c r="J289" s="1" t="s">
        <v>16</v>
      </c>
      <c r="K289" s="3" t="s">
        <v>28</v>
      </c>
      <c r="L289" s="4">
        <v>61</v>
      </c>
      <c r="M289" s="4">
        <v>41</v>
      </c>
      <c r="N289" s="5">
        <v>67.2</v>
      </c>
      <c r="O289" s="4">
        <v>61</v>
      </c>
      <c r="P289" s="4">
        <v>8</v>
      </c>
      <c r="Q289" s="5">
        <v>13.1</v>
      </c>
      <c r="R289" s="2">
        <v>93</v>
      </c>
      <c r="HZ289" s="34"/>
    </row>
    <row r="290" spans="1:234" ht="15" customHeight="1">
      <c r="A290" s="66" t="s">
        <v>200</v>
      </c>
      <c r="B290" s="2">
        <v>2017</v>
      </c>
      <c r="C290" s="1" t="s">
        <v>8</v>
      </c>
      <c r="D290" s="1" t="s">
        <v>410</v>
      </c>
      <c r="E290" s="1" t="s">
        <v>201</v>
      </c>
      <c r="F290" s="1" t="s">
        <v>9</v>
      </c>
      <c r="G290" s="1" t="s">
        <v>198</v>
      </c>
      <c r="H290" s="1" t="s">
        <v>22</v>
      </c>
      <c r="I290" s="1" t="s">
        <v>202</v>
      </c>
      <c r="J290" s="1" t="s">
        <v>16</v>
      </c>
      <c r="K290" s="3" t="s">
        <v>46</v>
      </c>
      <c r="L290" s="4">
        <v>110</v>
      </c>
      <c r="M290" s="4">
        <v>83</v>
      </c>
      <c r="N290" s="5">
        <v>75.400000000000006</v>
      </c>
      <c r="O290" s="4">
        <v>110</v>
      </c>
      <c r="P290" s="4">
        <v>18</v>
      </c>
      <c r="Q290" s="5">
        <v>16.399999999999999</v>
      </c>
      <c r="R290" s="2">
        <v>93</v>
      </c>
      <c r="HZ290" s="34"/>
    </row>
    <row r="291" spans="1:234" ht="15" customHeight="1">
      <c r="A291" s="66" t="s">
        <v>200</v>
      </c>
      <c r="B291" s="2">
        <v>2017</v>
      </c>
      <c r="C291" s="1" t="s">
        <v>8</v>
      </c>
      <c r="D291" s="1" t="s">
        <v>410</v>
      </c>
      <c r="E291" s="1" t="s">
        <v>201</v>
      </c>
      <c r="F291" s="1" t="s">
        <v>9</v>
      </c>
      <c r="G291" s="1" t="s">
        <v>198</v>
      </c>
      <c r="H291" s="1" t="s">
        <v>22</v>
      </c>
      <c r="I291" s="1" t="s">
        <v>202</v>
      </c>
      <c r="J291" s="1" t="s">
        <v>16</v>
      </c>
      <c r="K291" s="3" t="s">
        <v>205</v>
      </c>
      <c r="L291" s="4">
        <v>145</v>
      </c>
      <c r="M291" s="4">
        <v>122</v>
      </c>
      <c r="N291" s="5">
        <v>84.1</v>
      </c>
      <c r="O291" s="4">
        <v>145</v>
      </c>
      <c r="P291" s="4">
        <v>20</v>
      </c>
      <c r="Q291" s="5">
        <v>13.8</v>
      </c>
      <c r="R291" s="2">
        <v>93</v>
      </c>
      <c r="HZ291" s="34"/>
    </row>
    <row r="292" spans="1:234" ht="15" customHeight="1">
      <c r="A292" s="66" t="s">
        <v>200</v>
      </c>
      <c r="B292" s="2">
        <v>2017</v>
      </c>
      <c r="C292" s="1" t="s">
        <v>8</v>
      </c>
      <c r="D292" s="1" t="s">
        <v>410</v>
      </c>
      <c r="E292" s="1" t="s">
        <v>201</v>
      </c>
      <c r="F292" s="1" t="s">
        <v>9</v>
      </c>
      <c r="G292" s="1" t="s">
        <v>198</v>
      </c>
      <c r="H292" s="1" t="s">
        <v>22</v>
      </c>
      <c r="I292" s="1" t="s">
        <v>202</v>
      </c>
      <c r="J292" s="1" t="s">
        <v>23</v>
      </c>
      <c r="K292" s="3" t="s">
        <v>203</v>
      </c>
      <c r="L292" s="4">
        <v>237</v>
      </c>
      <c r="M292" s="4">
        <v>148</v>
      </c>
      <c r="N292" s="5">
        <v>62.4</v>
      </c>
      <c r="O292" s="4">
        <v>237</v>
      </c>
      <c r="P292" s="4">
        <v>33</v>
      </c>
      <c r="Q292" s="5">
        <v>13.9</v>
      </c>
      <c r="R292" s="2">
        <v>93</v>
      </c>
      <c r="HZ292" s="34"/>
    </row>
    <row r="293" spans="1:234" ht="15" customHeight="1">
      <c r="A293" s="66" t="s">
        <v>200</v>
      </c>
      <c r="B293" s="2">
        <v>2017</v>
      </c>
      <c r="C293" s="1" t="s">
        <v>8</v>
      </c>
      <c r="D293" s="1" t="s">
        <v>410</v>
      </c>
      <c r="E293" s="1" t="s">
        <v>201</v>
      </c>
      <c r="F293" s="1" t="s">
        <v>9</v>
      </c>
      <c r="G293" s="1" t="s">
        <v>198</v>
      </c>
      <c r="H293" s="1" t="s">
        <v>22</v>
      </c>
      <c r="I293" s="1" t="s">
        <v>202</v>
      </c>
      <c r="J293" s="1" t="s">
        <v>23</v>
      </c>
      <c r="K293" s="3" t="s">
        <v>204</v>
      </c>
      <c r="L293" s="4">
        <v>10</v>
      </c>
      <c r="M293" s="4">
        <v>3</v>
      </c>
      <c r="N293" s="5">
        <v>30</v>
      </c>
      <c r="O293" s="4">
        <v>10</v>
      </c>
      <c r="P293" s="4">
        <v>0</v>
      </c>
      <c r="Q293" s="5">
        <v>0</v>
      </c>
      <c r="R293" s="2">
        <v>93</v>
      </c>
      <c r="HZ293" s="34"/>
    </row>
    <row r="294" spans="1:234" ht="15" customHeight="1">
      <c r="A294" s="66" t="s">
        <v>200</v>
      </c>
      <c r="B294" s="2">
        <v>2017</v>
      </c>
      <c r="C294" s="1" t="s">
        <v>8</v>
      </c>
      <c r="D294" s="1" t="s">
        <v>410</v>
      </c>
      <c r="E294" s="1" t="s">
        <v>201</v>
      </c>
      <c r="F294" s="1" t="s">
        <v>9</v>
      </c>
      <c r="G294" s="1" t="s">
        <v>198</v>
      </c>
      <c r="H294" s="1" t="s">
        <v>22</v>
      </c>
      <c r="I294" s="1" t="s">
        <v>202</v>
      </c>
      <c r="J294" s="1" t="s">
        <v>23</v>
      </c>
      <c r="K294" s="3" t="s">
        <v>24</v>
      </c>
      <c r="L294" s="4">
        <v>9</v>
      </c>
      <c r="M294" s="4">
        <v>2</v>
      </c>
      <c r="N294" s="5">
        <v>22.2</v>
      </c>
      <c r="O294" s="4">
        <v>9</v>
      </c>
      <c r="P294" s="4">
        <v>0</v>
      </c>
      <c r="Q294" s="5">
        <v>0</v>
      </c>
      <c r="R294" s="2">
        <v>93</v>
      </c>
      <c r="HZ294" s="34"/>
    </row>
    <row r="295" spans="1:234" ht="15" customHeight="1">
      <c r="A295" s="66" t="s">
        <v>200</v>
      </c>
      <c r="B295" s="2">
        <v>2017</v>
      </c>
      <c r="C295" s="1" t="s">
        <v>8</v>
      </c>
      <c r="D295" s="1" t="s">
        <v>410</v>
      </c>
      <c r="E295" s="1" t="s">
        <v>201</v>
      </c>
      <c r="F295" s="1" t="s">
        <v>9</v>
      </c>
      <c r="G295" s="1" t="s">
        <v>198</v>
      </c>
      <c r="H295" s="1" t="s">
        <v>22</v>
      </c>
      <c r="I295" s="1" t="s">
        <v>202</v>
      </c>
      <c r="J295" s="1" t="s">
        <v>23</v>
      </c>
      <c r="K295" s="3" t="s">
        <v>25</v>
      </c>
      <c r="L295" s="4">
        <v>23</v>
      </c>
      <c r="M295" s="4">
        <v>7</v>
      </c>
      <c r="N295" s="5">
        <v>30.4</v>
      </c>
      <c r="O295" s="4">
        <v>23</v>
      </c>
      <c r="P295" s="4">
        <v>3</v>
      </c>
      <c r="Q295" s="5">
        <v>13</v>
      </c>
      <c r="R295" s="2">
        <v>93</v>
      </c>
      <c r="HZ295" s="34"/>
    </row>
    <row r="296" spans="1:234" ht="15" customHeight="1">
      <c r="A296" s="66" t="s">
        <v>200</v>
      </c>
      <c r="B296" s="2">
        <v>2017</v>
      </c>
      <c r="C296" s="1" t="s">
        <v>8</v>
      </c>
      <c r="D296" s="1" t="s">
        <v>410</v>
      </c>
      <c r="E296" s="1" t="s">
        <v>201</v>
      </c>
      <c r="F296" s="1" t="s">
        <v>9</v>
      </c>
      <c r="G296" s="1" t="s">
        <v>198</v>
      </c>
      <c r="H296" s="1" t="s">
        <v>22</v>
      </c>
      <c r="I296" s="1" t="s">
        <v>202</v>
      </c>
      <c r="J296" s="1" t="s">
        <v>23</v>
      </c>
      <c r="K296" s="3" t="s">
        <v>26</v>
      </c>
      <c r="L296" s="4">
        <v>26</v>
      </c>
      <c r="M296" s="4">
        <v>18</v>
      </c>
      <c r="N296" s="5">
        <v>69.2</v>
      </c>
      <c r="O296" s="4">
        <v>26</v>
      </c>
      <c r="P296" s="4">
        <v>4</v>
      </c>
      <c r="Q296" s="5">
        <v>15.4</v>
      </c>
      <c r="R296" s="2">
        <v>93</v>
      </c>
      <c r="HZ296" s="34"/>
    </row>
    <row r="297" spans="1:234" ht="15" customHeight="1">
      <c r="A297" s="66" t="s">
        <v>200</v>
      </c>
      <c r="B297" s="2">
        <v>2017</v>
      </c>
      <c r="C297" s="1" t="s">
        <v>8</v>
      </c>
      <c r="D297" s="1" t="s">
        <v>410</v>
      </c>
      <c r="E297" s="1" t="s">
        <v>201</v>
      </c>
      <c r="F297" s="1" t="s">
        <v>9</v>
      </c>
      <c r="G297" s="1" t="s">
        <v>198</v>
      </c>
      <c r="H297" s="1" t="s">
        <v>22</v>
      </c>
      <c r="I297" s="1" t="s">
        <v>202</v>
      </c>
      <c r="J297" s="1" t="s">
        <v>23</v>
      </c>
      <c r="K297" s="3" t="s">
        <v>27</v>
      </c>
      <c r="L297" s="4">
        <v>19</v>
      </c>
      <c r="M297" s="4">
        <v>10</v>
      </c>
      <c r="N297" s="5">
        <v>52.6</v>
      </c>
      <c r="O297" s="4">
        <v>19</v>
      </c>
      <c r="P297" s="4">
        <v>1</v>
      </c>
      <c r="Q297" s="5">
        <v>5.3</v>
      </c>
      <c r="R297" s="2">
        <v>93</v>
      </c>
      <c r="HZ297" s="34"/>
    </row>
    <row r="298" spans="1:234" ht="15" customHeight="1">
      <c r="A298" s="66" t="s">
        <v>200</v>
      </c>
      <c r="B298" s="2">
        <v>2017</v>
      </c>
      <c r="C298" s="1" t="s">
        <v>8</v>
      </c>
      <c r="D298" s="1" t="s">
        <v>410</v>
      </c>
      <c r="E298" s="1" t="s">
        <v>201</v>
      </c>
      <c r="F298" s="1" t="s">
        <v>9</v>
      </c>
      <c r="G298" s="1" t="s">
        <v>198</v>
      </c>
      <c r="H298" s="1" t="s">
        <v>22</v>
      </c>
      <c r="I298" s="1" t="s">
        <v>202</v>
      </c>
      <c r="J298" s="1" t="s">
        <v>23</v>
      </c>
      <c r="K298" s="3" t="s">
        <v>28</v>
      </c>
      <c r="L298" s="4">
        <v>25</v>
      </c>
      <c r="M298" s="4">
        <v>14</v>
      </c>
      <c r="N298" s="5">
        <v>56</v>
      </c>
      <c r="O298" s="4">
        <v>25</v>
      </c>
      <c r="P298" s="4">
        <v>5</v>
      </c>
      <c r="Q298" s="5">
        <v>20</v>
      </c>
      <c r="R298" s="2">
        <v>93</v>
      </c>
      <c r="HZ298" s="34"/>
    </row>
    <row r="299" spans="1:234" ht="15" customHeight="1">
      <c r="A299" s="66" t="s">
        <v>200</v>
      </c>
      <c r="B299" s="2">
        <v>2017</v>
      </c>
      <c r="C299" s="1" t="s">
        <v>8</v>
      </c>
      <c r="D299" s="1" t="s">
        <v>410</v>
      </c>
      <c r="E299" s="1" t="s">
        <v>201</v>
      </c>
      <c r="F299" s="1" t="s">
        <v>9</v>
      </c>
      <c r="G299" s="1" t="s">
        <v>198</v>
      </c>
      <c r="H299" s="1" t="s">
        <v>22</v>
      </c>
      <c r="I299" s="1" t="s">
        <v>202</v>
      </c>
      <c r="J299" s="1" t="s">
        <v>23</v>
      </c>
      <c r="K299" s="3" t="s">
        <v>46</v>
      </c>
      <c r="L299" s="4">
        <v>51</v>
      </c>
      <c r="M299" s="4">
        <v>36</v>
      </c>
      <c r="N299" s="5">
        <v>70.599999999999994</v>
      </c>
      <c r="O299" s="4">
        <v>51</v>
      </c>
      <c r="P299" s="4">
        <v>9</v>
      </c>
      <c r="Q299" s="5">
        <v>17.600000000000001</v>
      </c>
      <c r="R299" s="2">
        <v>93</v>
      </c>
      <c r="HZ299" s="34"/>
    </row>
    <row r="300" spans="1:234" ht="15" customHeight="1">
      <c r="A300" s="66" t="s">
        <v>200</v>
      </c>
      <c r="B300" s="2">
        <v>2017</v>
      </c>
      <c r="C300" s="1" t="s">
        <v>8</v>
      </c>
      <c r="D300" s="1" t="s">
        <v>410</v>
      </c>
      <c r="E300" s="1" t="s">
        <v>201</v>
      </c>
      <c r="F300" s="1" t="s">
        <v>9</v>
      </c>
      <c r="G300" s="1" t="s">
        <v>198</v>
      </c>
      <c r="H300" s="1" t="s">
        <v>22</v>
      </c>
      <c r="I300" s="1" t="s">
        <v>202</v>
      </c>
      <c r="J300" s="1" t="s">
        <v>23</v>
      </c>
      <c r="K300" s="3" t="s">
        <v>205</v>
      </c>
      <c r="L300" s="4">
        <v>74</v>
      </c>
      <c r="M300" s="4">
        <v>58</v>
      </c>
      <c r="N300" s="5">
        <v>78.400000000000006</v>
      </c>
      <c r="O300" s="4">
        <v>74</v>
      </c>
      <c r="P300" s="4">
        <v>11</v>
      </c>
      <c r="Q300" s="5">
        <v>14.9</v>
      </c>
      <c r="R300" s="2">
        <v>93</v>
      </c>
      <c r="HZ300" s="34"/>
    </row>
    <row r="301" spans="1:234" ht="15" customHeight="1">
      <c r="A301" s="66" t="s">
        <v>200</v>
      </c>
      <c r="B301" s="2">
        <v>2017</v>
      </c>
      <c r="C301" s="1" t="s">
        <v>8</v>
      </c>
      <c r="D301" s="1" t="s">
        <v>410</v>
      </c>
      <c r="E301" s="1" t="s">
        <v>201</v>
      </c>
      <c r="F301" s="1" t="s">
        <v>9</v>
      </c>
      <c r="G301" s="1" t="s">
        <v>198</v>
      </c>
      <c r="H301" s="1" t="s">
        <v>22</v>
      </c>
      <c r="I301" s="1" t="s">
        <v>202</v>
      </c>
      <c r="J301" s="1" t="s">
        <v>11</v>
      </c>
      <c r="K301" s="3" t="s">
        <v>203</v>
      </c>
      <c r="L301" s="4">
        <v>260</v>
      </c>
      <c r="M301" s="4">
        <v>200</v>
      </c>
      <c r="N301" s="5">
        <v>76.900000000000006</v>
      </c>
      <c r="O301" s="4">
        <v>260</v>
      </c>
      <c r="P301" s="4">
        <v>24</v>
      </c>
      <c r="Q301" s="5">
        <v>9.1999999999999993</v>
      </c>
      <c r="R301" s="2">
        <v>93</v>
      </c>
      <c r="HZ301" s="34"/>
    </row>
    <row r="302" spans="1:234" ht="15" customHeight="1">
      <c r="A302" s="66" t="s">
        <v>200</v>
      </c>
      <c r="B302" s="2">
        <v>2017</v>
      </c>
      <c r="C302" s="1" t="s">
        <v>8</v>
      </c>
      <c r="D302" s="1" t="s">
        <v>410</v>
      </c>
      <c r="E302" s="1" t="s">
        <v>201</v>
      </c>
      <c r="F302" s="1" t="s">
        <v>9</v>
      </c>
      <c r="G302" s="1" t="s">
        <v>198</v>
      </c>
      <c r="H302" s="1" t="s">
        <v>22</v>
      </c>
      <c r="I302" s="1" t="s">
        <v>202</v>
      </c>
      <c r="J302" s="1" t="s">
        <v>11</v>
      </c>
      <c r="K302" s="3" t="s">
        <v>204</v>
      </c>
      <c r="L302" s="4">
        <v>5</v>
      </c>
      <c r="M302" s="4">
        <v>3</v>
      </c>
      <c r="N302" s="5">
        <v>60</v>
      </c>
      <c r="O302" s="4">
        <v>5</v>
      </c>
      <c r="P302" s="4">
        <v>0</v>
      </c>
      <c r="Q302" s="5">
        <v>0</v>
      </c>
      <c r="R302" s="2">
        <v>93</v>
      </c>
      <c r="HZ302" s="34"/>
    </row>
    <row r="303" spans="1:234" ht="15" customHeight="1">
      <c r="A303" s="66" t="s">
        <v>200</v>
      </c>
      <c r="B303" s="2">
        <v>2017</v>
      </c>
      <c r="C303" s="1" t="s">
        <v>8</v>
      </c>
      <c r="D303" s="1" t="s">
        <v>410</v>
      </c>
      <c r="E303" s="1" t="s">
        <v>201</v>
      </c>
      <c r="F303" s="1" t="s">
        <v>9</v>
      </c>
      <c r="G303" s="1" t="s">
        <v>198</v>
      </c>
      <c r="H303" s="1" t="s">
        <v>22</v>
      </c>
      <c r="I303" s="1" t="s">
        <v>202</v>
      </c>
      <c r="J303" s="1" t="s">
        <v>11</v>
      </c>
      <c r="K303" s="3" t="s">
        <v>24</v>
      </c>
      <c r="L303" s="4">
        <v>13</v>
      </c>
      <c r="M303" s="4">
        <v>4</v>
      </c>
      <c r="N303" s="5">
        <v>30.8</v>
      </c>
      <c r="O303" s="4">
        <v>13</v>
      </c>
      <c r="P303" s="4">
        <v>0</v>
      </c>
      <c r="Q303" s="5">
        <v>0</v>
      </c>
      <c r="R303" s="2">
        <v>93</v>
      </c>
      <c r="HZ303" s="34"/>
    </row>
    <row r="304" spans="1:234" ht="15" customHeight="1">
      <c r="A304" s="66" t="s">
        <v>200</v>
      </c>
      <c r="B304" s="2">
        <v>2017</v>
      </c>
      <c r="C304" s="1" t="s">
        <v>8</v>
      </c>
      <c r="D304" s="1" t="s">
        <v>410</v>
      </c>
      <c r="E304" s="1" t="s">
        <v>201</v>
      </c>
      <c r="F304" s="1" t="s">
        <v>9</v>
      </c>
      <c r="G304" s="1" t="s">
        <v>198</v>
      </c>
      <c r="H304" s="1" t="s">
        <v>22</v>
      </c>
      <c r="I304" s="1" t="s">
        <v>202</v>
      </c>
      <c r="J304" s="1" t="s">
        <v>11</v>
      </c>
      <c r="K304" s="3" t="s">
        <v>25</v>
      </c>
      <c r="L304" s="4">
        <v>22</v>
      </c>
      <c r="M304" s="4">
        <v>9</v>
      </c>
      <c r="N304" s="5">
        <v>40.9</v>
      </c>
      <c r="O304" s="4">
        <v>22</v>
      </c>
      <c r="P304" s="4">
        <v>2</v>
      </c>
      <c r="Q304" s="5">
        <v>9.1</v>
      </c>
      <c r="R304" s="2">
        <v>93</v>
      </c>
      <c r="HZ304" s="34"/>
    </row>
    <row r="305" spans="1:234" ht="15" customHeight="1">
      <c r="A305" s="66" t="s">
        <v>200</v>
      </c>
      <c r="B305" s="2">
        <v>2017</v>
      </c>
      <c r="C305" s="1" t="s">
        <v>8</v>
      </c>
      <c r="D305" s="1" t="s">
        <v>410</v>
      </c>
      <c r="E305" s="1" t="s">
        <v>201</v>
      </c>
      <c r="F305" s="1" t="s">
        <v>9</v>
      </c>
      <c r="G305" s="1" t="s">
        <v>198</v>
      </c>
      <c r="H305" s="1" t="s">
        <v>22</v>
      </c>
      <c r="I305" s="1" t="s">
        <v>202</v>
      </c>
      <c r="J305" s="1" t="s">
        <v>11</v>
      </c>
      <c r="K305" s="3" t="s">
        <v>26</v>
      </c>
      <c r="L305" s="4">
        <v>23</v>
      </c>
      <c r="M305" s="4">
        <v>18</v>
      </c>
      <c r="N305" s="5">
        <v>78.3</v>
      </c>
      <c r="O305" s="4">
        <v>23</v>
      </c>
      <c r="P305" s="4">
        <v>1</v>
      </c>
      <c r="Q305" s="5">
        <v>4.3</v>
      </c>
      <c r="R305" s="2">
        <v>93</v>
      </c>
      <c r="HZ305" s="34"/>
    </row>
    <row r="306" spans="1:234" ht="15" customHeight="1">
      <c r="A306" s="66" t="s">
        <v>200</v>
      </c>
      <c r="B306" s="2">
        <v>2017</v>
      </c>
      <c r="C306" s="1" t="s">
        <v>8</v>
      </c>
      <c r="D306" s="1" t="s">
        <v>410</v>
      </c>
      <c r="E306" s="1" t="s">
        <v>201</v>
      </c>
      <c r="F306" s="1" t="s">
        <v>9</v>
      </c>
      <c r="G306" s="1" t="s">
        <v>198</v>
      </c>
      <c r="H306" s="1" t="s">
        <v>22</v>
      </c>
      <c r="I306" s="1" t="s">
        <v>202</v>
      </c>
      <c r="J306" s="1" t="s">
        <v>11</v>
      </c>
      <c r="K306" s="3" t="s">
        <v>27</v>
      </c>
      <c r="L306" s="4">
        <v>31</v>
      </c>
      <c r="M306" s="4">
        <v>28</v>
      </c>
      <c r="N306" s="5">
        <v>90.3</v>
      </c>
      <c r="O306" s="4">
        <v>31</v>
      </c>
      <c r="P306" s="4">
        <v>0</v>
      </c>
      <c r="Q306" s="5">
        <v>0</v>
      </c>
      <c r="R306" s="2">
        <v>93</v>
      </c>
      <c r="HZ306" s="34"/>
    </row>
    <row r="307" spans="1:234" ht="15" customHeight="1">
      <c r="A307" s="66" t="s">
        <v>200</v>
      </c>
      <c r="B307" s="2">
        <v>2017</v>
      </c>
      <c r="C307" s="1" t="s">
        <v>8</v>
      </c>
      <c r="D307" s="1" t="s">
        <v>410</v>
      </c>
      <c r="E307" s="1" t="s">
        <v>201</v>
      </c>
      <c r="F307" s="1" t="s">
        <v>9</v>
      </c>
      <c r="G307" s="1" t="s">
        <v>198</v>
      </c>
      <c r="H307" s="1" t="s">
        <v>22</v>
      </c>
      <c r="I307" s="1" t="s">
        <v>202</v>
      </c>
      <c r="J307" s="1" t="s">
        <v>11</v>
      </c>
      <c r="K307" s="3" t="s">
        <v>28</v>
      </c>
      <c r="L307" s="4">
        <v>36</v>
      </c>
      <c r="M307" s="4">
        <v>27</v>
      </c>
      <c r="N307" s="5">
        <v>75</v>
      </c>
      <c r="O307" s="4">
        <v>36</v>
      </c>
      <c r="P307" s="4">
        <v>3</v>
      </c>
      <c r="Q307" s="5">
        <v>8.3000000000000007</v>
      </c>
      <c r="R307" s="2">
        <v>93</v>
      </c>
      <c r="HZ307" s="34"/>
    </row>
    <row r="308" spans="1:234" ht="15" customHeight="1">
      <c r="A308" s="66" t="s">
        <v>200</v>
      </c>
      <c r="B308" s="2">
        <v>2017</v>
      </c>
      <c r="C308" s="1" t="s">
        <v>8</v>
      </c>
      <c r="D308" s="1" t="s">
        <v>410</v>
      </c>
      <c r="E308" s="1" t="s">
        <v>201</v>
      </c>
      <c r="F308" s="1" t="s">
        <v>9</v>
      </c>
      <c r="G308" s="1" t="s">
        <v>198</v>
      </c>
      <c r="H308" s="1" t="s">
        <v>22</v>
      </c>
      <c r="I308" s="1" t="s">
        <v>202</v>
      </c>
      <c r="J308" s="1" t="s">
        <v>11</v>
      </c>
      <c r="K308" s="3" t="s">
        <v>46</v>
      </c>
      <c r="L308" s="4">
        <v>59</v>
      </c>
      <c r="M308" s="4">
        <v>47</v>
      </c>
      <c r="N308" s="5">
        <v>79.7</v>
      </c>
      <c r="O308" s="4">
        <v>59</v>
      </c>
      <c r="P308" s="4">
        <v>9</v>
      </c>
      <c r="Q308" s="5">
        <v>15.2</v>
      </c>
      <c r="R308" s="2">
        <v>93</v>
      </c>
      <c r="HZ308" s="34"/>
    </row>
    <row r="309" spans="1:234" ht="15" customHeight="1">
      <c r="A309" s="66" t="s">
        <v>200</v>
      </c>
      <c r="B309" s="2">
        <v>2017</v>
      </c>
      <c r="C309" s="1" t="s">
        <v>8</v>
      </c>
      <c r="D309" s="1" t="s">
        <v>410</v>
      </c>
      <c r="E309" s="1" t="s">
        <v>201</v>
      </c>
      <c r="F309" s="1" t="s">
        <v>9</v>
      </c>
      <c r="G309" s="1" t="s">
        <v>198</v>
      </c>
      <c r="H309" s="1" t="s">
        <v>22</v>
      </c>
      <c r="I309" s="1" t="s">
        <v>202</v>
      </c>
      <c r="J309" s="1" t="s">
        <v>11</v>
      </c>
      <c r="K309" s="3" t="s">
        <v>205</v>
      </c>
      <c r="L309" s="4">
        <v>71</v>
      </c>
      <c r="M309" s="4">
        <v>64</v>
      </c>
      <c r="N309" s="5">
        <v>90.1</v>
      </c>
      <c r="O309" s="4">
        <v>71</v>
      </c>
      <c r="P309" s="4">
        <v>9</v>
      </c>
      <c r="Q309" s="5">
        <v>12.7</v>
      </c>
      <c r="R309" s="2">
        <v>93</v>
      </c>
      <c r="HZ309" s="34"/>
    </row>
    <row r="310" spans="1:234" ht="15" customHeight="1">
      <c r="A310" s="66" t="s">
        <v>207</v>
      </c>
      <c r="B310" s="2">
        <v>2015</v>
      </c>
      <c r="C310" s="1" t="s">
        <v>13</v>
      </c>
      <c r="D310" s="1" t="s">
        <v>610</v>
      </c>
      <c r="E310" s="1" t="s">
        <v>67</v>
      </c>
      <c r="F310" s="1" t="s">
        <v>9</v>
      </c>
      <c r="G310" s="2">
        <v>2006</v>
      </c>
      <c r="H310" s="1" t="s">
        <v>208</v>
      </c>
      <c r="I310" s="1" t="s">
        <v>209</v>
      </c>
      <c r="J310" s="1" t="s">
        <v>16</v>
      </c>
      <c r="K310" s="3" t="s">
        <v>210</v>
      </c>
      <c r="L310" s="4">
        <v>400</v>
      </c>
      <c r="M310" s="4">
        <v>145</v>
      </c>
      <c r="N310" s="5">
        <f t="shared" ref="N310:N315" si="21">M310*100/L310</f>
        <v>36.25</v>
      </c>
      <c r="O310" s="4">
        <v>400</v>
      </c>
      <c r="P310" s="4">
        <v>11</v>
      </c>
      <c r="Q310" s="5">
        <f t="shared" ref="Q310:Q315" si="22">P310*100/O310</f>
        <v>2.75</v>
      </c>
      <c r="R310" s="2">
        <v>94</v>
      </c>
      <c r="HZ310" s="34"/>
    </row>
    <row r="311" spans="1:234" ht="15" customHeight="1">
      <c r="A311" s="66" t="s">
        <v>207</v>
      </c>
      <c r="B311" s="2">
        <v>2015</v>
      </c>
      <c r="C311" s="1" t="s">
        <v>13</v>
      </c>
      <c r="D311" s="1" t="s">
        <v>610</v>
      </c>
      <c r="E311" s="1" t="s">
        <v>67</v>
      </c>
      <c r="F311" s="1" t="s">
        <v>9</v>
      </c>
      <c r="G311" s="2">
        <v>2006</v>
      </c>
      <c r="H311" s="1" t="s">
        <v>208</v>
      </c>
      <c r="I311" s="1" t="s">
        <v>209</v>
      </c>
      <c r="J311" s="1" t="s">
        <v>16</v>
      </c>
      <c r="K311" s="3" t="s">
        <v>211</v>
      </c>
      <c r="L311" s="4">
        <f t="shared" ref="L311:M314" si="23">L316+L321</f>
        <v>207</v>
      </c>
      <c r="M311" s="4">
        <f t="shared" si="23"/>
        <v>68</v>
      </c>
      <c r="N311" s="5">
        <f t="shared" si="21"/>
        <v>32.850241545893716</v>
      </c>
      <c r="O311" s="4">
        <f t="shared" ref="O311:P314" si="24">O316+O321</f>
        <v>207</v>
      </c>
      <c r="P311" s="4">
        <f t="shared" si="24"/>
        <v>6</v>
      </c>
      <c r="Q311" s="5">
        <f t="shared" si="22"/>
        <v>2.8985507246376812</v>
      </c>
      <c r="R311" s="2">
        <v>94</v>
      </c>
      <c r="HZ311" s="34"/>
    </row>
    <row r="312" spans="1:234" ht="15" customHeight="1">
      <c r="A312" s="66" t="s">
        <v>207</v>
      </c>
      <c r="B312" s="2">
        <v>2015</v>
      </c>
      <c r="C312" s="1" t="s">
        <v>13</v>
      </c>
      <c r="D312" s="1" t="s">
        <v>610</v>
      </c>
      <c r="E312" s="1" t="s">
        <v>67</v>
      </c>
      <c r="F312" s="1" t="s">
        <v>9</v>
      </c>
      <c r="G312" s="2">
        <v>2006</v>
      </c>
      <c r="H312" s="1" t="s">
        <v>208</v>
      </c>
      <c r="I312" s="1" t="s">
        <v>209</v>
      </c>
      <c r="J312" s="1" t="s">
        <v>16</v>
      </c>
      <c r="K312" s="3" t="s">
        <v>212</v>
      </c>
      <c r="L312" s="4">
        <f t="shared" si="23"/>
        <v>85</v>
      </c>
      <c r="M312" s="4">
        <f t="shared" si="23"/>
        <v>35</v>
      </c>
      <c r="N312" s="5">
        <f t="shared" si="21"/>
        <v>41.176470588235297</v>
      </c>
      <c r="O312" s="4">
        <f t="shared" si="24"/>
        <v>85</v>
      </c>
      <c r="P312" s="4">
        <f t="shared" si="24"/>
        <v>2</v>
      </c>
      <c r="Q312" s="5">
        <f t="shared" si="22"/>
        <v>2.3529411764705883</v>
      </c>
      <c r="R312" s="2">
        <v>94</v>
      </c>
      <c r="HZ312" s="34"/>
    </row>
    <row r="313" spans="1:234" ht="15" customHeight="1">
      <c r="A313" s="66" t="s">
        <v>207</v>
      </c>
      <c r="B313" s="2">
        <v>2015</v>
      </c>
      <c r="C313" s="1" t="s">
        <v>13</v>
      </c>
      <c r="D313" s="1" t="s">
        <v>610</v>
      </c>
      <c r="E313" s="1" t="s">
        <v>67</v>
      </c>
      <c r="F313" s="1" t="s">
        <v>9</v>
      </c>
      <c r="G313" s="2">
        <v>2006</v>
      </c>
      <c r="H313" s="1" t="s">
        <v>208</v>
      </c>
      <c r="I313" s="1" t="s">
        <v>209</v>
      </c>
      <c r="J313" s="1" t="s">
        <v>16</v>
      </c>
      <c r="K313" s="3" t="s">
        <v>213</v>
      </c>
      <c r="L313" s="4">
        <f t="shared" si="23"/>
        <v>73</v>
      </c>
      <c r="M313" s="4">
        <f t="shared" si="23"/>
        <v>24</v>
      </c>
      <c r="N313" s="5">
        <f t="shared" si="21"/>
        <v>32.876712328767127</v>
      </c>
      <c r="O313" s="4">
        <f t="shared" si="24"/>
        <v>73</v>
      </c>
      <c r="P313" s="4">
        <f t="shared" si="24"/>
        <v>1</v>
      </c>
      <c r="Q313" s="5">
        <f t="shared" si="22"/>
        <v>1.3698630136986301</v>
      </c>
      <c r="R313" s="2">
        <v>94</v>
      </c>
      <c r="HZ313" s="34"/>
    </row>
    <row r="314" spans="1:234" ht="15" customHeight="1">
      <c r="A314" s="66" t="s">
        <v>207</v>
      </c>
      <c r="B314" s="2">
        <v>2015</v>
      </c>
      <c r="C314" s="1" t="s">
        <v>13</v>
      </c>
      <c r="D314" s="1" t="s">
        <v>610</v>
      </c>
      <c r="E314" s="1" t="s">
        <v>67</v>
      </c>
      <c r="F314" s="1" t="s">
        <v>9</v>
      </c>
      <c r="G314" s="2">
        <v>2006</v>
      </c>
      <c r="H314" s="1" t="s">
        <v>208</v>
      </c>
      <c r="I314" s="1" t="s">
        <v>209</v>
      </c>
      <c r="J314" s="1" t="s">
        <v>16</v>
      </c>
      <c r="K314" s="3" t="s">
        <v>214</v>
      </c>
      <c r="L314" s="4">
        <f t="shared" si="23"/>
        <v>35</v>
      </c>
      <c r="M314" s="4">
        <f t="shared" si="23"/>
        <v>18</v>
      </c>
      <c r="N314" s="5">
        <f t="shared" si="21"/>
        <v>51.428571428571431</v>
      </c>
      <c r="O314" s="4">
        <f t="shared" si="24"/>
        <v>35</v>
      </c>
      <c r="P314" s="4">
        <f t="shared" si="24"/>
        <v>2</v>
      </c>
      <c r="Q314" s="5">
        <f t="shared" si="22"/>
        <v>5.7142857142857144</v>
      </c>
      <c r="R314" s="2">
        <v>94</v>
      </c>
      <c r="HZ314" s="34"/>
    </row>
    <row r="315" spans="1:234" ht="15" customHeight="1">
      <c r="A315" s="66" t="s">
        <v>207</v>
      </c>
      <c r="B315" s="2">
        <v>2015</v>
      </c>
      <c r="C315" s="1" t="s">
        <v>13</v>
      </c>
      <c r="D315" s="1" t="s">
        <v>610</v>
      </c>
      <c r="E315" s="1" t="s">
        <v>67</v>
      </c>
      <c r="F315" s="1" t="s">
        <v>9</v>
      </c>
      <c r="G315" s="2">
        <v>2006</v>
      </c>
      <c r="H315" s="1" t="s">
        <v>208</v>
      </c>
      <c r="I315" s="1" t="s">
        <v>209</v>
      </c>
      <c r="J315" s="1" t="s">
        <v>23</v>
      </c>
      <c r="K315" s="3" t="s">
        <v>210</v>
      </c>
      <c r="L315" s="4">
        <f>SUM(L316:L319)</f>
        <v>200</v>
      </c>
      <c r="M315" s="4">
        <f>SUM(M316:M319)</f>
        <v>67</v>
      </c>
      <c r="N315" s="5">
        <f t="shared" si="21"/>
        <v>33.5</v>
      </c>
      <c r="O315" s="4">
        <f>SUM(O316:O319)</f>
        <v>200</v>
      </c>
      <c r="P315" s="4">
        <f>SUM(P316:P319)</f>
        <v>3</v>
      </c>
      <c r="Q315" s="5">
        <f t="shared" si="22"/>
        <v>1.5</v>
      </c>
      <c r="R315" s="2">
        <v>94</v>
      </c>
      <c r="HZ315" s="34"/>
    </row>
    <row r="316" spans="1:234" ht="15" customHeight="1">
      <c r="A316" s="66" t="s">
        <v>207</v>
      </c>
      <c r="B316" s="2">
        <v>2015</v>
      </c>
      <c r="C316" s="1" t="s">
        <v>13</v>
      </c>
      <c r="D316" s="1" t="s">
        <v>610</v>
      </c>
      <c r="E316" s="1" t="s">
        <v>67</v>
      </c>
      <c r="F316" s="1" t="s">
        <v>9</v>
      </c>
      <c r="G316" s="2">
        <v>2006</v>
      </c>
      <c r="H316" s="1" t="s">
        <v>208</v>
      </c>
      <c r="I316" s="1" t="s">
        <v>209</v>
      </c>
      <c r="J316" s="1" t="s">
        <v>23</v>
      </c>
      <c r="K316" s="3" t="s">
        <v>211</v>
      </c>
      <c r="L316" s="4">
        <v>101</v>
      </c>
      <c r="M316" s="4">
        <v>27</v>
      </c>
      <c r="N316" s="5">
        <v>26.7</v>
      </c>
      <c r="O316" s="4">
        <v>101</v>
      </c>
      <c r="P316" s="4">
        <v>1</v>
      </c>
      <c r="Q316" s="5">
        <v>1</v>
      </c>
      <c r="R316" s="2">
        <v>94</v>
      </c>
      <c r="HZ316" s="34"/>
    </row>
    <row r="317" spans="1:234" ht="15" customHeight="1">
      <c r="A317" s="66" t="s">
        <v>207</v>
      </c>
      <c r="B317" s="2">
        <v>2015</v>
      </c>
      <c r="C317" s="1" t="s">
        <v>13</v>
      </c>
      <c r="D317" s="1" t="s">
        <v>610</v>
      </c>
      <c r="E317" s="1" t="s">
        <v>67</v>
      </c>
      <c r="F317" s="1" t="s">
        <v>9</v>
      </c>
      <c r="G317" s="2">
        <v>2006</v>
      </c>
      <c r="H317" s="1" t="s">
        <v>208</v>
      </c>
      <c r="I317" s="1" t="s">
        <v>209</v>
      </c>
      <c r="J317" s="1" t="s">
        <v>23</v>
      </c>
      <c r="K317" s="3" t="s">
        <v>212</v>
      </c>
      <c r="L317" s="4">
        <v>42</v>
      </c>
      <c r="M317" s="4">
        <v>17</v>
      </c>
      <c r="N317" s="5">
        <v>40.5</v>
      </c>
      <c r="O317" s="4">
        <v>42</v>
      </c>
      <c r="P317" s="4">
        <v>1</v>
      </c>
      <c r="Q317" s="5">
        <v>2.4</v>
      </c>
      <c r="R317" s="2">
        <v>94</v>
      </c>
      <c r="HZ317" s="34"/>
    </row>
    <row r="318" spans="1:234" ht="15" customHeight="1">
      <c r="A318" s="66" t="s">
        <v>207</v>
      </c>
      <c r="B318" s="2">
        <v>2015</v>
      </c>
      <c r="C318" s="1" t="s">
        <v>13</v>
      </c>
      <c r="D318" s="1" t="s">
        <v>610</v>
      </c>
      <c r="E318" s="1" t="s">
        <v>67</v>
      </c>
      <c r="F318" s="1" t="s">
        <v>9</v>
      </c>
      <c r="G318" s="2">
        <v>2006</v>
      </c>
      <c r="H318" s="1" t="s">
        <v>208</v>
      </c>
      <c r="I318" s="1" t="s">
        <v>209</v>
      </c>
      <c r="J318" s="1" t="s">
        <v>23</v>
      </c>
      <c r="K318" s="3" t="s">
        <v>213</v>
      </c>
      <c r="L318" s="4">
        <v>37</v>
      </c>
      <c r="M318" s="4">
        <v>12</v>
      </c>
      <c r="N318" s="5">
        <v>32.4</v>
      </c>
      <c r="O318" s="4">
        <v>37</v>
      </c>
      <c r="P318" s="4">
        <v>0</v>
      </c>
      <c r="Q318" s="5">
        <v>0</v>
      </c>
      <c r="R318" s="2">
        <v>94</v>
      </c>
      <c r="HZ318" s="34"/>
    </row>
    <row r="319" spans="1:234" ht="15" customHeight="1">
      <c r="A319" s="69" t="s">
        <v>207</v>
      </c>
      <c r="B319" s="2">
        <v>2015</v>
      </c>
      <c r="C319" s="1" t="s">
        <v>13</v>
      </c>
      <c r="D319" s="1" t="s">
        <v>610</v>
      </c>
      <c r="E319" s="1" t="s">
        <v>67</v>
      </c>
      <c r="F319" s="1" t="s">
        <v>9</v>
      </c>
      <c r="G319" s="2">
        <v>2006</v>
      </c>
      <c r="H319" s="1" t="s">
        <v>208</v>
      </c>
      <c r="I319" s="1" t="s">
        <v>209</v>
      </c>
      <c r="J319" s="1" t="s">
        <v>23</v>
      </c>
      <c r="K319" s="3" t="s">
        <v>214</v>
      </c>
      <c r="L319" s="4">
        <v>20</v>
      </c>
      <c r="M319" s="4">
        <v>11</v>
      </c>
      <c r="N319" s="5">
        <v>55</v>
      </c>
      <c r="O319" s="4">
        <v>20</v>
      </c>
      <c r="P319" s="4">
        <v>1</v>
      </c>
      <c r="Q319" s="5">
        <v>5</v>
      </c>
      <c r="R319" s="2">
        <v>94</v>
      </c>
      <c r="HZ319" s="34"/>
    </row>
    <row r="320" spans="1:234" ht="15" customHeight="1">
      <c r="A320" s="69" t="s">
        <v>207</v>
      </c>
      <c r="B320" s="2">
        <v>2015</v>
      </c>
      <c r="C320" s="1" t="s">
        <v>13</v>
      </c>
      <c r="D320" s="1" t="s">
        <v>610</v>
      </c>
      <c r="E320" s="1" t="s">
        <v>67</v>
      </c>
      <c r="F320" s="1" t="s">
        <v>9</v>
      </c>
      <c r="G320" s="2">
        <v>2006</v>
      </c>
      <c r="H320" s="1" t="s">
        <v>208</v>
      </c>
      <c r="I320" s="1" t="s">
        <v>209</v>
      </c>
      <c r="J320" s="1" t="s">
        <v>11</v>
      </c>
      <c r="K320" s="3" t="s">
        <v>210</v>
      </c>
      <c r="L320" s="4">
        <f>SUM(L321:L324)</f>
        <v>200</v>
      </c>
      <c r="M320" s="4">
        <f>SUM(M321:M324)</f>
        <v>78</v>
      </c>
      <c r="N320" s="5">
        <f>M320*100/L320</f>
        <v>39</v>
      </c>
      <c r="O320" s="4">
        <f>SUM(O321:O324)</f>
        <v>200</v>
      </c>
      <c r="P320" s="4">
        <f>SUM(P321:P324)</f>
        <v>8</v>
      </c>
      <c r="Q320" s="5">
        <f>P320*100/O320</f>
        <v>4</v>
      </c>
      <c r="R320" s="2">
        <v>94</v>
      </c>
      <c r="HZ320" s="34"/>
    </row>
    <row r="321" spans="1:234" ht="15" customHeight="1">
      <c r="A321" s="69" t="s">
        <v>207</v>
      </c>
      <c r="B321" s="2">
        <v>2015</v>
      </c>
      <c r="C321" s="1" t="s">
        <v>13</v>
      </c>
      <c r="D321" s="1" t="s">
        <v>610</v>
      </c>
      <c r="E321" s="1" t="s">
        <v>67</v>
      </c>
      <c r="F321" s="1" t="s">
        <v>9</v>
      </c>
      <c r="G321" s="2">
        <v>2006</v>
      </c>
      <c r="H321" s="1" t="s">
        <v>208</v>
      </c>
      <c r="I321" s="1" t="s">
        <v>209</v>
      </c>
      <c r="J321" s="1" t="s">
        <v>11</v>
      </c>
      <c r="K321" s="3" t="s">
        <v>211</v>
      </c>
      <c r="L321" s="4">
        <v>106</v>
      </c>
      <c r="M321" s="4">
        <v>41</v>
      </c>
      <c r="N321" s="5">
        <v>38.700000000000003</v>
      </c>
      <c r="O321" s="4">
        <v>106</v>
      </c>
      <c r="P321" s="4">
        <v>5</v>
      </c>
      <c r="Q321" s="5">
        <v>4.7</v>
      </c>
      <c r="R321" s="2">
        <v>94</v>
      </c>
      <c r="HZ321" s="34"/>
    </row>
    <row r="322" spans="1:234" ht="15" customHeight="1">
      <c r="A322" s="69" t="s">
        <v>207</v>
      </c>
      <c r="B322" s="2">
        <v>2015</v>
      </c>
      <c r="C322" s="1" t="s">
        <v>13</v>
      </c>
      <c r="D322" s="1" t="s">
        <v>610</v>
      </c>
      <c r="E322" s="1" t="s">
        <v>67</v>
      </c>
      <c r="F322" s="1" t="s">
        <v>9</v>
      </c>
      <c r="G322" s="2">
        <v>2006</v>
      </c>
      <c r="H322" s="1" t="s">
        <v>208</v>
      </c>
      <c r="I322" s="1" t="s">
        <v>209</v>
      </c>
      <c r="J322" s="1" t="s">
        <v>11</v>
      </c>
      <c r="K322" s="3" t="s">
        <v>212</v>
      </c>
      <c r="L322" s="4">
        <v>43</v>
      </c>
      <c r="M322" s="4">
        <v>18</v>
      </c>
      <c r="N322" s="5">
        <v>41.9</v>
      </c>
      <c r="O322" s="4">
        <v>43</v>
      </c>
      <c r="P322" s="4">
        <v>1</v>
      </c>
      <c r="Q322" s="5">
        <v>2.2999999999999998</v>
      </c>
      <c r="R322" s="2">
        <v>94</v>
      </c>
      <c r="HZ322" s="34"/>
    </row>
    <row r="323" spans="1:234" ht="15" customHeight="1">
      <c r="A323" s="69" t="s">
        <v>207</v>
      </c>
      <c r="B323" s="2">
        <v>2015</v>
      </c>
      <c r="C323" s="1" t="s">
        <v>13</v>
      </c>
      <c r="D323" s="1" t="s">
        <v>610</v>
      </c>
      <c r="E323" s="1" t="s">
        <v>67</v>
      </c>
      <c r="F323" s="1" t="s">
        <v>9</v>
      </c>
      <c r="G323" s="2">
        <v>2006</v>
      </c>
      <c r="H323" s="1" t="s">
        <v>208</v>
      </c>
      <c r="I323" s="1" t="s">
        <v>209</v>
      </c>
      <c r="J323" s="1" t="s">
        <v>11</v>
      </c>
      <c r="K323" s="3" t="s">
        <v>213</v>
      </c>
      <c r="L323" s="4">
        <v>36</v>
      </c>
      <c r="M323" s="4">
        <v>12</v>
      </c>
      <c r="N323" s="5">
        <v>33.299999999999997</v>
      </c>
      <c r="O323" s="4">
        <v>36</v>
      </c>
      <c r="P323" s="4">
        <v>1</v>
      </c>
      <c r="Q323" s="5">
        <v>2.8</v>
      </c>
      <c r="R323" s="2">
        <v>94</v>
      </c>
      <c r="HZ323" s="34"/>
    </row>
    <row r="324" spans="1:234" ht="15" customHeight="1">
      <c r="A324" s="69" t="s">
        <v>207</v>
      </c>
      <c r="B324" s="2">
        <v>2015</v>
      </c>
      <c r="C324" s="1" t="s">
        <v>13</v>
      </c>
      <c r="D324" s="1" t="s">
        <v>610</v>
      </c>
      <c r="E324" s="1" t="s">
        <v>67</v>
      </c>
      <c r="F324" s="1" t="s">
        <v>9</v>
      </c>
      <c r="G324" s="2">
        <v>2006</v>
      </c>
      <c r="H324" s="1" t="s">
        <v>208</v>
      </c>
      <c r="I324" s="1" t="s">
        <v>209</v>
      </c>
      <c r="J324" s="1" t="s">
        <v>11</v>
      </c>
      <c r="K324" s="3" t="s">
        <v>214</v>
      </c>
      <c r="L324" s="4">
        <v>15</v>
      </c>
      <c r="M324" s="4">
        <v>7</v>
      </c>
      <c r="N324" s="5">
        <v>46.7</v>
      </c>
      <c r="O324" s="4">
        <v>15</v>
      </c>
      <c r="P324" s="4">
        <v>1</v>
      </c>
      <c r="Q324" s="5">
        <v>6.7</v>
      </c>
      <c r="R324" s="2">
        <v>94</v>
      </c>
      <c r="HZ324" s="34"/>
    </row>
    <row r="325" spans="1:234" ht="15" customHeight="1">
      <c r="A325" s="66" t="s">
        <v>216</v>
      </c>
      <c r="B325" s="2">
        <v>2015</v>
      </c>
      <c r="C325" s="16" t="s">
        <v>607</v>
      </c>
      <c r="D325" s="1" t="s">
        <v>406</v>
      </c>
      <c r="E325" s="1" t="s">
        <v>43</v>
      </c>
      <c r="F325" s="1" t="s">
        <v>9</v>
      </c>
      <c r="G325" s="1" t="s">
        <v>217</v>
      </c>
      <c r="H325" s="1" t="s">
        <v>22</v>
      </c>
      <c r="I325" s="1" t="s">
        <v>218</v>
      </c>
      <c r="J325" s="1" t="s">
        <v>16</v>
      </c>
      <c r="K325" s="6" t="s">
        <v>219</v>
      </c>
      <c r="L325" s="4">
        <v>4985</v>
      </c>
      <c r="M325" s="4">
        <v>4425</v>
      </c>
      <c r="N325" s="5">
        <v>88.77</v>
      </c>
      <c r="O325" s="4">
        <v>4985</v>
      </c>
      <c r="P325" s="4">
        <v>63</v>
      </c>
      <c r="Q325" s="5">
        <v>1.26</v>
      </c>
      <c r="R325" s="2">
        <v>95</v>
      </c>
      <c r="HZ325" s="34"/>
    </row>
    <row r="326" spans="1:234" ht="15" customHeight="1">
      <c r="A326" s="66" t="s">
        <v>216</v>
      </c>
      <c r="B326" s="2">
        <v>2015</v>
      </c>
      <c r="C326" s="16" t="s">
        <v>607</v>
      </c>
      <c r="D326" s="1" t="s">
        <v>406</v>
      </c>
      <c r="E326" s="1" t="s">
        <v>43</v>
      </c>
      <c r="F326" s="1" t="s">
        <v>9</v>
      </c>
      <c r="G326" s="1" t="s">
        <v>217</v>
      </c>
      <c r="H326" s="1" t="s">
        <v>22</v>
      </c>
      <c r="I326" s="1" t="s">
        <v>218</v>
      </c>
      <c r="J326" s="1" t="s">
        <v>16</v>
      </c>
      <c r="K326" s="3" t="s">
        <v>220</v>
      </c>
      <c r="L326" s="4">
        <v>144</v>
      </c>
      <c r="M326" s="4">
        <v>104</v>
      </c>
      <c r="N326" s="5">
        <v>72.22</v>
      </c>
      <c r="O326" s="4">
        <v>144</v>
      </c>
      <c r="P326" s="4">
        <v>0</v>
      </c>
      <c r="Q326" s="5">
        <v>0</v>
      </c>
      <c r="R326" s="2">
        <v>95</v>
      </c>
      <c r="HZ326" s="34"/>
    </row>
    <row r="327" spans="1:234" ht="15" customHeight="1">
      <c r="A327" s="66" t="s">
        <v>216</v>
      </c>
      <c r="B327" s="2">
        <v>2015</v>
      </c>
      <c r="C327" s="16" t="s">
        <v>607</v>
      </c>
      <c r="D327" s="1" t="s">
        <v>406</v>
      </c>
      <c r="E327" s="1" t="s">
        <v>43</v>
      </c>
      <c r="F327" s="1" t="s">
        <v>9</v>
      </c>
      <c r="G327" s="1" t="s">
        <v>217</v>
      </c>
      <c r="H327" s="1" t="s">
        <v>22</v>
      </c>
      <c r="I327" s="1" t="s">
        <v>218</v>
      </c>
      <c r="J327" s="1" t="s">
        <v>16</v>
      </c>
      <c r="K327" s="3" t="s">
        <v>221</v>
      </c>
      <c r="L327" s="4">
        <v>1937</v>
      </c>
      <c r="M327" s="4">
        <v>1644</v>
      </c>
      <c r="N327" s="5">
        <v>84.87</v>
      </c>
      <c r="O327" s="4">
        <v>1937</v>
      </c>
      <c r="P327" s="4">
        <v>9</v>
      </c>
      <c r="Q327" s="5">
        <v>0.46</v>
      </c>
      <c r="R327" s="2">
        <v>95</v>
      </c>
      <c r="HZ327" s="34"/>
    </row>
    <row r="328" spans="1:234" ht="15" customHeight="1">
      <c r="A328" s="66" t="s">
        <v>216</v>
      </c>
      <c r="B328" s="2">
        <v>2015</v>
      </c>
      <c r="C328" s="16" t="s">
        <v>607</v>
      </c>
      <c r="D328" s="1" t="s">
        <v>406</v>
      </c>
      <c r="E328" s="1" t="s">
        <v>43</v>
      </c>
      <c r="F328" s="1" t="s">
        <v>9</v>
      </c>
      <c r="G328" s="1" t="s">
        <v>217</v>
      </c>
      <c r="H328" s="1" t="s">
        <v>22</v>
      </c>
      <c r="I328" s="1" t="s">
        <v>218</v>
      </c>
      <c r="J328" s="1" t="s">
        <v>16</v>
      </c>
      <c r="K328" s="3" t="s">
        <v>222</v>
      </c>
      <c r="L328" s="4">
        <v>2475</v>
      </c>
      <c r="M328" s="4">
        <v>2296</v>
      </c>
      <c r="N328" s="5">
        <v>92.77</v>
      </c>
      <c r="O328" s="4">
        <v>2475</v>
      </c>
      <c r="P328" s="4">
        <v>47</v>
      </c>
      <c r="Q328" s="5">
        <v>1.9</v>
      </c>
      <c r="R328" s="2">
        <v>95</v>
      </c>
      <c r="HZ328" s="34"/>
    </row>
    <row r="329" spans="1:234" ht="15" customHeight="1">
      <c r="A329" s="66" t="s">
        <v>216</v>
      </c>
      <c r="B329" s="2">
        <v>2015</v>
      </c>
      <c r="C329" s="16" t="s">
        <v>607</v>
      </c>
      <c r="D329" s="1" t="s">
        <v>406</v>
      </c>
      <c r="E329" s="1" t="s">
        <v>43</v>
      </c>
      <c r="F329" s="1" t="s">
        <v>9</v>
      </c>
      <c r="G329" s="1" t="s">
        <v>217</v>
      </c>
      <c r="H329" s="1" t="s">
        <v>22</v>
      </c>
      <c r="I329" s="1" t="s">
        <v>218</v>
      </c>
      <c r="J329" s="1" t="s">
        <v>16</v>
      </c>
      <c r="K329" s="3" t="s">
        <v>223</v>
      </c>
      <c r="L329" s="4">
        <v>150</v>
      </c>
      <c r="M329" s="4">
        <v>136</v>
      </c>
      <c r="N329" s="5">
        <v>90.67</v>
      </c>
      <c r="O329" s="4">
        <v>150</v>
      </c>
      <c r="P329" s="4">
        <v>3</v>
      </c>
      <c r="Q329" s="5">
        <v>2</v>
      </c>
      <c r="R329" s="2">
        <v>95</v>
      </c>
      <c r="HZ329" s="34"/>
    </row>
    <row r="330" spans="1:234" ht="15" customHeight="1">
      <c r="A330" s="66" t="s">
        <v>216</v>
      </c>
      <c r="B330" s="2">
        <v>2015</v>
      </c>
      <c r="C330" s="16" t="s">
        <v>607</v>
      </c>
      <c r="D330" s="1" t="s">
        <v>406</v>
      </c>
      <c r="E330" s="1" t="s">
        <v>43</v>
      </c>
      <c r="F330" s="1" t="s">
        <v>9</v>
      </c>
      <c r="G330" s="1" t="s">
        <v>217</v>
      </c>
      <c r="H330" s="1" t="s">
        <v>22</v>
      </c>
      <c r="I330" s="1" t="s">
        <v>218</v>
      </c>
      <c r="J330" s="1" t="s">
        <v>23</v>
      </c>
      <c r="K330" s="80" t="s">
        <v>219</v>
      </c>
      <c r="L330" s="4">
        <v>2828</v>
      </c>
      <c r="M330" s="4">
        <v>2464</v>
      </c>
      <c r="N330" s="5">
        <v>87.13</v>
      </c>
      <c r="O330" s="4">
        <v>2828</v>
      </c>
      <c r="P330" s="4">
        <v>31</v>
      </c>
      <c r="Q330" s="5">
        <v>1.1000000000000001</v>
      </c>
      <c r="R330" s="2">
        <v>95</v>
      </c>
      <c r="HZ330" s="34"/>
    </row>
    <row r="331" spans="1:234" ht="15" customHeight="1">
      <c r="A331" s="66" t="s">
        <v>216</v>
      </c>
      <c r="B331" s="2">
        <v>2015</v>
      </c>
      <c r="C331" s="16" t="s">
        <v>607</v>
      </c>
      <c r="D331" s="1" t="s">
        <v>406</v>
      </c>
      <c r="E331" s="1" t="s">
        <v>43</v>
      </c>
      <c r="F331" s="1" t="s">
        <v>9</v>
      </c>
      <c r="G331" s="1" t="s">
        <v>217</v>
      </c>
      <c r="H331" s="1" t="s">
        <v>22</v>
      </c>
      <c r="I331" s="1" t="s">
        <v>218</v>
      </c>
      <c r="J331" s="1" t="s">
        <v>11</v>
      </c>
      <c r="K331" s="80" t="s">
        <v>219</v>
      </c>
      <c r="L331" s="4">
        <v>2157</v>
      </c>
      <c r="M331" s="4">
        <v>1961</v>
      </c>
      <c r="N331" s="5">
        <v>90.91</v>
      </c>
      <c r="O331" s="4">
        <v>2157</v>
      </c>
      <c r="P331" s="4">
        <v>32</v>
      </c>
      <c r="Q331" s="5">
        <v>1.48</v>
      </c>
      <c r="R331" s="2">
        <v>95</v>
      </c>
      <c r="HZ331" s="34"/>
    </row>
    <row r="332" spans="1:234" ht="15" customHeight="1">
      <c r="A332" s="66" t="s">
        <v>225</v>
      </c>
      <c r="B332" s="2">
        <v>2015</v>
      </c>
      <c r="C332" s="1" t="s">
        <v>13</v>
      </c>
      <c r="D332" s="1" t="s">
        <v>610</v>
      </c>
      <c r="E332" s="1" t="s">
        <v>226</v>
      </c>
      <c r="F332" s="1" t="s">
        <v>227</v>
      </c>
      <c r="G332" s="1" t="s">
        <v>228</v>
      </c>
      <c r="H332" s="1" t="s">
        <v>229</v>
      </c>
      <c r="I332" s="1" t="s">
        <v>199</v>
      </c>
      <c r="J332" s="1" t="s">
        <v>11</v>
      </c>
      <c r="K332" s="3" t="s">
        <v>230</v>
      </c>
      <c r="L332" s="1" t="s">
        <v>10</v>
      </c>
      <c r="M332" s="1" t="s">
        <v>10</v>
      </c>
      <c r="N332" s="5" t="s">
        <v>10</v>
      </c>
      <c r="O332" s="4">
        <v>1658</v>
      </c>
      <c r="P332" s="4">
        <v>789</v>
      </c>
      <c r="Q332" s="5">
        <v>47</v>
      </c>
      <c r="R332" s="2">
        <v>96</v>
      </c>
      <c r="HZ332" s="34"/>
    </row>
    <row r="333" spans="1:234" ht="15" customHeight="1">
      <c r="A333" s="66" t="s">
        <v>225</v>
      </c>
      <c r="B333" s="2">
        <v>2015</v>
      </c>
      <c r="C333" s="1" t="s">
        <v>13</v>
      </c>
      <c r="D333" s="1" t="s">
        <v>610</v>
      </c>
      <c r="E333" s="1" t="s">
        <v>226</v>
      </c>
      <c r="F333" s="1" t="s">
        <v>227</v>
      </c>
      <c r="G333" s="1" t="s">
        <v>228</v>
      </c>
      <c r="H333" s="1" t="s">
        <v>229</v>
      </c>
      <c r="I333" s="1" t="s">
        <v>199</v>
      </c>
      <c r="J333" s="1" t="s">
        <v>11</v>
      </c>
      <c r="K333" s="3" t="s">
        <v>127</v>
      </c>
      <c r="L333" s="1" t="s">
        <v>10</v>
      </c>
      <c r="M333" s="1" t="s">
        <v>10</v>
      </c>
      <c r="N333" s="5" t="s">
        <v>10</v>
      </c>
      <c r="O333" s="4">
        <f>191+319</f>
        <v>510</v>
      </c>
      <c r="P333" s="4">
        <v>191</v>
      </c>
      <c r="Q333" s="5">
        <f>P333*100/O333</f>
        <v>37.450980392156865</v>
      </c>
      <c r="R333" s="2">
        <v>96</v>
      </c>
      <c r="HZ333" s="34"/>
    </row>
    <row r="334" spans="1:234" ht="15" customHeight="1">
      <c r="A334" s="66" t="s">
        <v>225</v>
      </c>
      <c r="B334" s="2">
        <v>2015</v>
      </c>
      <c r="C334" s="1" t="s">
        <v>13</v>
      </c>
      <c r="D334" s="1" t="s">
        <v>610</v>
      </c>
      <c r="E334" s="1" t="s">
        <v>226</v>
      </c>
      <c r="F334" s="1" t="s">
        <v>227</v>
      </c>
      <c r="G334" s="1" t="s">
        <v>228</v>
      </c>
      <c r="H334" s="1" t="s">
        <v>229</v>
      </c>
      <c r="I334" s="1" t="s">
        <v>199</v>
      </c>
      <c r="J334" s="1" t="s">
        <v>11</v>
      </c>
      <c r="K334" s="3" t="s">
        <v>12</v>
      </c>
      <c r="L334" s="1" t="s">
        <v>10</v>
      </c>
      <c r="M334" s="1" t="s">
        <v>10</v>
      </c>
      <c r="N334" s="5" t="s">
        <v>10</v>
      </c>
      <c r="O334" s="4">
        <f>284+286</f>
        <v>570</v>
      </c>
      <c r="P334" s="4">
        <v>284</v>
      </c>
      <c r="Q334" s="5">
        <f>P334*100/O334</f>
        <v>49.824561403508774</v>
      </c>
      <c r="R334" s="2">
        <v>96</v>
      </c>
      <c r="HZ334" s="34"/>
    </row>
    <row r="335" spans="1:234" ht="15" customHeight="1">
      <c r="A335" s="66" t="s">
        <v>225</v>
      </c>
      <c r="B335" s="2">
        <v>2015</v>
      </c>
      <c r="C335" s="1" t="s">
        <v>13</v>
      </c>
      <c r="D335" s="1" t="s">
        <v>610</v>
      </c>
      <c r="E335" s="1" t="s">
        <v>226</v>
      </c>
      <c r="F335" s="1" t="s">
        <v>227</v>
      </c>
      <c r="G335" s="1" t="s">
        <v>228</v>
      </c>
      <c r="H335" s="1" t="s">
        <v>229</v>
      </c>
      <c r="I335" s="1" t="s">
        <v>199</v>
      </c>
      <c r="J335" s="1" t="s">
        <v>11</v>
      </c>
      <c r="K335" s="3" t="s">
        <v>231</v>
      </c>
      <c r="L335" s="1" t="s">
        <v>10</v>
      </c>
      <c r="M335" s="1" t="s">
        <v>10</v>
      </c>
      <c r="N335" s="5" t="s">
        <v>10</v>
      </c>
      <c r="O335" s="4">
        <f>314+264</f>
        <v>578</v>
      </c>
      <c r="P335" s="4">
        <v>314</v>
      </c>
      <c r="Q335" s="5">
        <f>P335*100/O335</f>
        <v>54.325259515570934</v>
      </c>
      <c r="R335" s="2">
        <v>96</v>
      </c>
      <c r="HZ335" s="34"/>
    </row>
    <row r="336" spans="1:234" ht="15" customHeight="1">
      <c r="A336" s="66" t="s">
        <v>232</v>
      </c>
      <c r="B336" s="2">
        <v>2018</v>
      </c>
      <c r="C336" s="1" t="s">
        <v>13</v>
      </c>
      <c r="D336" s="12" t="s">
        <v>402</v>
      </c>
      <c r="E336" s="1" t="s">
        <v>233</v>
      </c>
      <c r="F336" s="1" t="s">
        <v>9</v>
      </c>
      <c r="G336" s="1" t="s">
        <v>215</v>
      </c>
      <c r="H336" s="16" t="s">
        <v>419</v>
      </c>
      <c r="I336" s="1" t="s">
        <v>234</v>
      </c>
      <c r="J336" s="1" t="s">
        <v>11</v>
      </c>
      <c r="K336" s="3" t="s">
        <v>235</v>
      </c>
      <c r="L336" s="4">
        <v>32</v>
      </c>
      <c r="M336" s="4">
        <f>N336*L336/100</f>
        <v>30.015999999999998</v>
      </c>
      <c r="N336" s="5">
        <v>93.8</v>
      </c>
      <c r="O336" s="4">
        <v>32</v>
      </c>
      <c r="P336" s="4">
        <f>Q336*O336/100</f>
        <v>8.9920000000000009</v>
      </c>
      <c r="Q336" s="5">
        <v>28.1</v>
      </c>
      <c r="R336" s="2">
        <v>97</v>
      </c>
      <c r="HZ336" s="34"/>
    </row>
    <row r="337" spans="1:234" ht="15" customHeight="1">
      <c r="A337" s="66" t="s">
        <v>232</v>
      </c>
      <c r="B337" s="2">
        <v>2018</v>
      </c>
      <c r="C337" s="1" t="s">
        <v>13</v>
      </c>
      <c r="D337" s="12" t="s">
        <v>402</v>
      </c>
      <c r="E337" s="1" t="s">
        <v>233</v>
      </c>
      <c r="F337" s="1" t="s">
        <v>9</v>
      </c>
      <c r="G337" s="1" t="s">
        <v>215</v>
      </c>
      <c r="H337" s="1" t="s">
        <v>236</v>
      </c>
      <c r="I337" s="1" t="s">
        <v>234</v>
      </c>
      <c r="J337" s="1" t="s">
        <v>11</v>
      </c>
      <c r="K337" s="3" t="s">
        <v>237</v>
      </c>
      <c r="L337" s="4">
        <v>160</v>
      </c>
      <c r="M337" s="4">
        <f>N337*L337/100</f>
        <v>152</v>
      </c>
      <c r="N337" s="5">
        <v>95</v>
      </c>
      <c r="O337" s="4">
        <v>160</v>
      </c>
      <c r="P337" s="4">
        <f>Q337*O337/100</f>
        <v>75.36</v>
      </c>
      <c r="Q337" s="5">
        <v>47.1</v>
      </c>
      <c r="R337" s="2">
        <v>97</v>
      </c>
      <c r="HZ337" s="34"/>
    </row>
    <row r="338" spans="1:234" s="46" customFormat="1" ht="15" customHeight="1">
      <c r="A338" s="70" t="s">
        <v>238</v>
      </c>
      <c r="B338" s="17">
        <v>2017</v>
      </c>
      <c r="C338" s="18" t="s">
        <v>8</v>
      </c>
      <c r="D338" s="1" t="s">
        <v>410</v>
      </c>
      <c r="E338" s="18" t="s">
        <v>201</v>
      </c>
      <c r="F338" s="18" t="s">
        <v>9</v>
      </c>
      <c r="G338" s="18" t="s">
        <v>239</v>
      </c>
      <c r="H338" s="18" t="s">
        <v>361</v>
      </c>
      <c r="I338" s="18" t="s">
        <v>240</v>
      </c>
      <c r="J338" s="18" t="s">
        <v>23</v>
      </c>
      <c r="K338" s="19" t="s">
        <v>241</v>
      </c>
      <c r="L338" s="20">
        <v>73</v>
      </c>
      <c r="M338" s="20">
        <v>54</v>
      </c>
      <c r="N338" s="21">
        <v>74</v>
      </c>
      <c r="O338" s="18" t="s">
        <v>10</v>
      </c>
      <c r="P338" s="18" t="s">
        <v>10</v>
      </c>
      <c r="Q338" s="21" t="s">
        <v>10</v>
      </c>
      <c r="R338" s="17">
        <v>98</v>
      </c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</row>
    <row r="339" spans="1:234" ht="15" customHeight="1">
      <c r="A339" s="66" t="s">
        <v>242</v>
      </c>
      <c r="B339" s="2">
        <v>2016</v>
      </c>
      <c r="C339" s="1" t="s">
        <v>13</v>
      </c>
      <c r="D339" s="1" t="s">
        <v>610</v>
      </c>
      <c r="E339" s="1" t="s">
        <v>243</v>
      </c>
      <c r="F339" s="1" t="s">
        <v>244</v>
      </c>
      <c r="G339" s="1" t="s">
        <v>9</v>
      </c>
      <c r="H339" s="1" t="s">
        <v>22</v>
      </c>
      <c r="I339" s="1" t="s">
        <v>245</v>
      </c>
      <c r="J339" s="1" t="s">
        <v>16</v>
      </c>
      <c r="K339" s="3" t="s">
        <v>246</v>
      </c>
      <c r="L339" s="4">
        <v>1459</v>
      </c>
      <c r="M339" s="4">
        <f>L339*N339/100</f>
        <v>1454.6230000000003</v>
      </c>
      <c r="N339" s="5">
        <v>99.7</v>
      </c>
      <c r="O339" s="1" t="s">
        <v>10</v>
      </c>
      <c r="P339" s="1" t="s">
        <v>10</v>
      </c>
      <c r="Q339" s="5" t="s">
        <v>10</v>
      </c>
      <c r="R339" s="2">
        <v>99</v>
      </c>
      <c r="HZ339" s="34"/>
    </row>
    <row r="340" spans="1:234" ht="15" customHeight="1">
      <c r="A340" s="66" t="s">
        <v>247</v>
      </c>
      <c r="B340" s="2">
        <v>2015</v>
      </c>
      <c r="C340" s="16" t="s">
        <v>605</v>
      </c>
      <c r="D340" s="1" t="s">
        <v>15</v>
      </c>
      <c r="E340" s="1" t="s">
        <v>248</v>
      </c>
      <c r="F340" s="1" t="s">
        <v>9</v>
      </c>
      <c r="G340" s="1" t="s">
        <v>217</v>
      </c>
      <c r="H340" s="16" t="s">
        <v>615</v>
      </c>
      <c r="I340" s="1" t="s">
        <v>249</v>
      </c>
      <c r="J340" s="1" t="s">
        <v>16</v>
      </c>
      <c r="K340" s="3" t="s">
        <v>250</v>
      </c>
      <c r="L340" s="4">
        <v>45</v>
      </c>
      <c r="M340" s="4">
        <v>40</v>
      </c>
      <c r="N340" s="5">
        <v>88.8</v>
      </c>
      <c r="O340" s="4">
        <v>45</v>
      </c>
      <c r="P340" s="4">
        <f t="shared" ref="P340:P346" si="25">Q340*O340/100</f>
        <v>8.01</v>
      </c>
      <c r="Q340" s="5">
        <v>17.8</v>
      </c>
      <c r="R340" s="2">
        <v>100</v>
      </c>
      <c r="HZ340" s="34"/>
    </row>
    <row r="341" spans="1:234" ht="15" customHeight="1">
      <c r="A341" s="66" t="s">
        <v>247</v>
      </c>
      <c r="B341" s="2">
        <v>2015</v>
      </c>
      <c r="C341" s="16" t="s">
        <v>605</v>
      </c>
      <c r="D341" s="1" t="s">
        <v>15</v>
      </c>
      <c r="E341" s="1" t="s">
        <v>248</v>
      </c>
      <c r="F341" s="1" t="s">
        <v>9</v>
      </c>
      <c r="G341" s="1" t="s">
        <v>217</v>
      </c>
      <c r="H341" s="16" t="s">
        <v>615</v>
      </c>
      <c r="I341" s="1" t="s">
        <v>249</v>
      </c>
      <c r="J341" s="1" t="s">
        <v>16</v>
      </c>
      <c r="K341" s="3" t="s">
        <v>251</v>
      </c>
      <c r="L341" s="4">
        <v>9</v>
      </c>
      <c r="M341" s="4">
        <f t="shared" ref="M341:M346" si="26">N341*L341/100</f>
        <v>9</v>
      </c>
      <c r="N341" s="5">
        <v>100</v>
      </c>
      <c r="O341" s="4">
        <v>9</v>
      </c>
      <c r="P341" s="4">
        <f t="shared" si="25"/>
        <v>0.99899999999999989</v>
      </c>
      <c r="Q341" s="5">
        <v>11.1</v>
      </c>
      <c r="R341" s="2">
        <v>100</v>
      </c>
      <c r="HZ341" s="34"/>
    </row>
    <row r="342" spans="1:234" ht="15" customHeight="1">
      <c r="A342" s="66" t="s">
        <v>247</v>
      </c>
      <c r="B342" s="2">
        <v>2015</v>
      </c>
      <c r="C342" s="16" t="s">
        <v>605</v>
      </c>
      <c r="D342" s="1" t="s">
        <v>15</v>
      </c>
      <c r="E342" s="1" t="s">
        <v>248</v>
      </c>
      <c r="F342" s="1" t="s">
        <v>9</v>
      </c>
      <c r="G342" s="1" t="s">
        <v>217</v>
      </c>
      <c r="H342" s="16" t="s">
        <v>615</v>
      </c>
      <c r="I342" s="1" t="s">
        <v>249</v>
      </c>
      <c r="J342" s="1" t="s">
        <v>16</v>
      </c>
      <c r="K342" s="3" t="s">
        <v>252</v>
      </c>
      <c r="L342" s="4">
        <v>8</v>
      </c>
      <c r="M342" s="4">
        <f t="shared" si="26"/>
        <v>7</v>
      </c>
      <c r="N342" s="5">
        <v>87.5</v>
      </c>
      <c r="O342" s="4">
        <v>8</v>
      </c>
      <c r="P342" s="4">
        <f t="shared" si="25"/>
        <v>1</v>
      </c>
      <c r="Q342" s="5">
        <v>12.5</v>
      </c>
      <c r="R342" s="2">
        <v>100</v>
      </c>
      <c r="HZ342" s="34"/>
    </row>
    <row r="343" spans="1:234" ht="15" customHeight="1">
      <c r="A343" s="66" t="s">
        <v>247</v>
      </c>
      <c r="B343" s="2">
        <v>2015</v>
      </c>
      <c r="C343" s="16" t="s">
        <v>605</v>
      </c>
      <c r="D343" s="1" t="s">
        <v>15</v>
      </c>
      <c r="E343" s="1" t="s">
        <v>248</v>
      </c>
      <c r="F343" s="1" t="s">
        <v>9</v>
      </c>
      <c r="G343" s="1" t="s">
        <v>217</v>
      </c>
      <c r="H343" s="16" t="s">
        <v>615</v>
      </c>
      <c r="I343" s="1" t="s">
        <v>249</v>
      </c>
      <c r="J343" s="1" t="s">
        <v>16</v>
      </c>
      <c r="K343" s="3" t="s">
        <v>253</v>
      </c>
      <c r="L343" s="4">
        <v>21</v>
      </c>
      <c r="M343" s="4">
        <f t="shared" si="26"/>
        <v>17.997</v>
      </c>
      <c r="N343" s="5">
        <v>85.7</v>
      </c>
      <c r="O343" s="4">
        <v>21</v>
      </c>
      <c r="P343" s="4">
        <f t="shared" si="25"/>
        <v>4.9980000000000002</v>
      </c>
      <c r="Q343" s="5">
        <v>23.8</v>
      </c>
      <c r="R343" s="2">
        <v>100</v>
      </c>
      <c r="HZ343" s="34"/>
    </row>
    <row r="344" spans="1:234" ht="15" customHeight="1">
      <c r="A344" s="66" t="s">
        <v>247</v>
      </c>
      <c r="B344" s="2">
        <v>2015</v>
      </c>
      <c r="C344" s="16" t="s">
        <v>605</v>
      </c>
      <c r="D344" s="1" t="s">
        <v>15</v>
      </c>
      <c r="E344" s="1" t="s">
        <v>248</v>
      </c>
      <c r="F344" s="1" t="s">
        <v>9</v>
      </c>
      <c r="G344" s="1" t="s">
        <v>217</v>
      </c>
      <c r="H344" s="16" t="s">
        <v>615</v>
      </c>
      <c r="I344" s="1" t="s">
        <v>249</v>
      </c>
      <c r="J344" s="1" t="s">
        <v>16</v>
      </c>
      <c r="K344" s="3" t="s">
        <v>254</v>
      </c>
      <c r="L344" s="4">
        <v>7</v>
      </c>
      <c r="M344" s="4">
        <f t="shared" si="26"/>
        <v>5.9989999999999997</v>
      </c>
      <c r="N344" s="5">
        <v>85.7</v>
      </c>
      <c r="O344" s="4">
        <v>7</v>
      </c>
      <c r="P344" s="4">
        <f t="shared" si="25"/>
        <v>1.0010000000000001</v>
      </c>
      <c r="Q344" s="5">
        <v>14.3</v>
      </c>
      <c r="R344" s="2">
        <v>100</v>
      </c>
      <c r="HZ344" s="34"/>
    </row>
    <row r="345" spans="1:234" ht="15" customHeight="1">
      <c r="A345" s="66" t="s">
        <v>247</v>
      </c>
      <c r="B345" s="2">
        <v>2015</v>
      </c>
      <c r="C345" s="16" t="s">
        <v>605</v>
      </c>
      <c r="D345" s="1" t="s">
        <v>15</v>
      </c>
      <c r="E345" s="1" t="s">
        <v>248</v>
      </c>
      <c r="F345" s="1" t="s">
        <v>9</v>
      </c>
      <c r="G345" s="1" t="s">
        <v>217</v>
      </c>
      <c r="H345" s="16" t="s">
        <v>615</v>
      </c>
      <c r="I345" s="1" t="s">
        <v>249</v>
      </c>
      <c r="J345" s="1" t="s">
        <v>23</v>
      </c>
      <c r="K345" s="3" t="s">
        <v>250</v>
      </c>
      <c r="L345" s="4">
        <v>25</v>
      </c>
      <c r="M345" s="4">
        <f t="shared" si="26"/>
        <v>23</v>
      </c>
      <c r="N345" s="5">
        <v>92</v>
      </c>
      <c r="O345" s="4">
        <v>25</v>
      </c>
      <c r="P345" s="4">
        <f t="shared" si="25"/>
        <v>5</v>
      </c>
      <c r="Q345" s="5">
        <v>20</v>
      </c>
      <c r="R345" s="2">
        <v>100</v>
      </c>
      <c r="HZ345" s="34"/>
    </row>
    <row r="346" spans="1:234" ht="15" customHeight="1">
      <c r="A346" s="66" t="s">
        <v>247</v>
      </c>
      <c r="B346" s="2">
        <v>2015</v>
      </c>
      <c r="C346" s="16" t="s">
        <v>605</v>
      </c>
      <c r="D346" s="1" t="s">
        <v>15</v>
      </c>
      <c r="E346" s="1" t="s">
        <v>248</v>
      </c>
      <c r="F346" s="1" t="s">
        <v>9</v>
      </c>
      <c r="G346" s="1" t="s">
        <v>217</v>
      </c>
      <c r="H346" s="16" t="s">
        <v>615</v>
      </c>
      <c r="I346" s="1" t="s">
        <v>249</v>
      </c>
      <c r="J346" s="1" t="s">
        <v>11</v>
      </c>
      <c r="K346" s="3" t="s">
        <v>250</v>
      </c>
      <c r="L346" s="4">
        <v>20</v>
      </c>
      <c r="M346" s="4">
        <f t="shared" si="26"/>
        <v>17</v>
      </c>
      <c r="N346" s="5">
        <v>85</v>
      </c>
      <c r="O346" s="4">
        <v>20</v>
      </c>
      <c r="P346" s="4">
        <f t="shared" si="25"/>
        <v>3</v>
      </c>
      <c r="Q346" s="5">
        <v>15</v>
      </c>
      <c r="R346" s="2">
        <v>100</v>
      </c>
      <c r="HZ346" s="34"/>
    </row>
    <row r="347" spans="1:234" ht="15" customHeight="1">
      <c r="A347" s="66" t="s">
        <v>255</v>
      </c>
      <c r="B347" s="2">
        <v>2017</v>
      </c>
      <c r="C347" s="16" t="s">
        <v>607</v>
      </c>
      <c r="D347" s="1" t="s">
        <v>415</v>
      </c>
      <c r="E347" s="1" t="s">
        <v>43</v>
      </c>
      <c r="F347" s="1" t="s">
        <v>9</v>
      </c>
      <c r="G347" s="1" t="s">
        <v>68</v>
      </c>
      <c r="H347" s="1" t="s">
        <v>256</v>
      </c>
      <c r="I347" s="1" t="s">
        <v>257</v>
      </c>
      <c r="J347" s="1" t="s">
        <v>23</v>
      </c>
      <c r="K347" s="25" t="s">
        <v>621</v>
      </c>
      <c r="L347" s="4">
        <v>2076</v>
      </c>
      <c r="M347" s="4">
        <v>1796</v>
      </c>
      <c r="N347" s="5">
        <f t="shared" ref="N347:N355" si="27">M347*100/L347</f>
        <v>86.51252408477842</v>
      </c>
      <c r="O347" s="1" t="s">
        <v>10</v>
      </c>
      <c r="P347" s="1" t="s">
        <v>10</v>
      </c>
      <c r="Q347" s="5" t="s">
        <v>10</v>
      </c>
      <c r="R347" s="2">
        <v>101</v>
      </c>
      <c r="HZ347" s="34"/>
    </row>
    <row r="348" spans="1:234" ht="15" customHeight="1">
      <c r="A348" s="66" t="s">
        <v>255</v>
      </c>
      <c r="B348" s="2">
        <v>2017</v>
      </c>
      <c r="C348" s="16" t="s">
        <v>607</v>
      </c>
      <c r="D348" s="1" t="s">
        <v>415</v>
      </c>
      <c r="E348" s="1" t="s">
        <v>43</v>
      </c>
      <c r="F348" s="1" t="s">
        <v>9</v>
      </c>
      <c r="G348" s="1" t="s">
        <v>68</v>
      </c>
      <c r="H348" s="1" t="s">
        <v>256</v>
      </c>
      <c r="I348" s="1" t="s">
        <v>257</v>
      </c>
      <c r="J348" s="1" t="s">
        <v>23</v>
      </c>
      <c r="K348" s="3" t="s">
        <v>258</v>
      </c>
      <c r="L348" s="4">
        <v>150</v>
      </c>
      <c r="M348" s="4">
        <f>46+35+35</f>
        <v>116</v>
      </c>
      <c r="N348" s="5">
        <f t="shared" si="27"/>
        <v>77.333333333333329</v>
      </c>
      <c r="O348" s="1" t="s">
        <v>10</v>
      </c>
      <c r="P348" s="1" t="s">
        <v>10</v>
      </c>
      <c r="Q348" s="5" t="s">
        <v>10</v>
      </c>
      <c r="R348" s="2">
        <v>101</v>
      </c>
      <c r="HZ348" s="34"/>
    </row>
    <row r="349" spans="1:234" ht="15" customHeight="1">
      <c r="A349" s="66" t="s">
        <v>255</v>
      </c>
      <c r="B349" s="2">
        <v>2017</v>
      </c>
      <c r="C349" s="16" t="s">
        <v>607</v>
      </c>
      <c r="D349" s="1" t="s">
        <v>415</v>
      </c>
      <c r="E349" s="1" t="s">
        <v>43</v>
      </c>
      <c r="F349" s="1" t="s">
        <v>9</v>
      </c>
      <c r="G349" s="1" t="s">
        <v>68</v>
      </c>
      <c r="H349" s="1" t="s">
        <v>256</v>
      </c>
      <c r="I349" s="1" t="s">
        <v>257</v>
      </c>
      <c r="J349" s="1" t="s">
        <v>23</v>
      </c>
      <c r="K349" s="3" t="s">
        <v>26</v>
      </c>
      <c r="L349" s="4">
        <v>150</v>
      </c>
      <c r="M349" s="4">
        <f>50+36+31</f>
        <v>117</v>
      </c>
      <c r="N349" s="5">
        <f t="shared" si="27"/>
        <v>78</v>
      </c>
      <c r="O349" s="1" t="s">
        <v>10</v>
      </c>
      <c r="P349" s="1" t="s">
        <v>10</v>
      </c>
      <c r="Q349" s="5" t="s">
        <v>10</v>
      </c>
      <c r="R349" s="2">
        <v>101</v>
      </c>
      <c r="HZ349" s="34"/>
    </row>
    <row r="350" spans="1:234" ht="15" customHeight="1">
      <c r="A350" s="66" t="s">
        <v>255</v>
      </c>
      <c r="B350" s="2">
        <v>2017</v>
      </c>
      <c r="C350" s="16" t="s">
        <v>607</v>
      </c>
      <c r="D350" s="1" t="s">
        <v>415</v>
      </c>
      <c r="E350" s="1" t="s">
        <v>43</v>
      </c>
      <c r="F350" s="1" t="s">
        <v>9</v>
      </c>
      <c r="G350" s="1" t="s">
        <v>68</v>
      </c>
      <c r="H350" s="1" t="s">
        <v>256</v>
      </c>
      <c r="I350" s="1" t="s">
        <v>257</v>
      </c>
      <c r="J350" s="1" t="s">
        <v>23</v>
      </c>
      <c r="K350" s="3" t="s">
        <v>27</v>
      </c>
      <c r="L350" s="4">
        <v>150</v>
      </c>
      <c r="M350" s="4">
        <f>49+41+40</f>
        <v>130</v>
      </c>
      <c r="N350" s="5">
        <f t="shared" si="27"/>
        <v>86.666666666666671</v>
      </c>
      <c r="O350" s="1" t="s">
        <v>10</v>
      </c>
      <c r="P350" s="1" t="s">
        <v>10</v>
      </c>
      <c r="Q350" s="5" t="s">
        <v>10</v>
      </c>
      <c r="R350" s="2">
        <v>101</v>
      </c>
      <c r="HZ350" s="34"/>
    </row>
    <row r="351" spans="1:234" ht="15" customHeight="1">
      <c r="A351" s="66" t="s">
        <v>255</v>
      </c>
      <c r="B351" s="2">
        <v>2017</v>
      </c>
      <c r="C351" s="16" t="s">
        <v>607</v>
      </c>
      <c r="D351" s="1" t="s">
        <v>415</v>
      </c>
      <c r="E351" s="1" t="s">
        <v>43</v>
      </c>
      <c r="F351" s="1" t="s">
        <v>9</v>
      </c>
      <c r="G351" s="1" t="s">
        <v>68</v>
      </c>
      <c r="H351" s="1" t="s">
        <v>256</v>
      </c>
      <c r="I351" s="1" t="s">
        <v>257</v>
      </c>
      <c r="J351" s="1" t="s">
        <v>23</v>
      </c>
      <c r="K351" s="3" t="s">
        <v>28</v>
      </c>
      <c r="L351" s="4">
        <v>150</v>
      </c>
      <c r="M351" s="4">
        <f>49+42+41</f>
        <v>132</v>
      </c>
      <c r="N351" s="5">
        <f t="shared" si="27"/>
        <v>88</v>
      </c>
      <c r="O351" s="1" t="s">
        <v>10</v>
      </c>
      <c r="P351" s="1" t="s">
        <v>10</v>
      </c>
      <c r="Q351" s="5" t="s">
        <v>10</v>
      </c>
      <c r="R351" s="2">
        <v>101</v>
      </c>
      <c r="HZ351" s="34"/>
    </row>
    <row r="352" spans="1:234" ht="15" customHeight="1">
      <c r="A352" s="66" t="s">
        <v>255</v>
      </c>
      <c r="B352" s="2">
        <v>2017</v>
      </c>
      <c r="C352" s="16" t="s">
        <v>607</v>
      </c>
      <c r="D352" s="1" t="s">
        <v>415</v>
      </c>
      <c r="E352" s="1" t="s">
        <v>43</v>
      </c>
      <c r="F352" s="1" t="s">
        <v>9</v>
      </c>
      <c r="G352" s="1" t="s">
        <v>68</v>
      </c>
      <c r="H352" s="1" t="s">
        <v>256</v>
      </c>
      <c r="I352" s="1" t="s">
        <v>257</v>
      </c>
      <c r="J352" s="1" t="s">
        <v>23</v>
      </c>
      <c r="K352" s="3" t="s">
        <v>72</v>
      </c>
      <c r="L352" s="4">
        <v>150</v>
      </c>
      <c r="M352" s="4">
        <f>49+42+42</f>
        <v>133</v>
      </c>
      <c r="N352" s="5">
        <f t="shared" si="27"/>
        <v>88.666666666666671</v>
      </c>
      <c r="O352" s="1" t="s">
        <v>10</v>
      </c>
      <c r="P352" s="1" t="s">
        <v>10</v>
      </c>
      <c r="Q352" s="5" t="s">
        <v>10</v>
      </c>
      <c r="R352" s="2">
        <v>101</v>
      </c>
      <c r="HZ352" s="34"/>
    </row>
    <row r="353" spans="1:234" ht="15" customHeight="1">
      <c r="A353" s="66" t="s">
        <v>255</v>
      </c>
      <c r="B353" s="2">
        <v>2017</v>
      </c>
      <c r="C353" s="16" t="s">
        <v>607</v>
      </c>
      <c r="D353" s="1" t="s">
        <v>415</v>
      </c>
      <c r="E353" s="1" t="s">
        <v>43</v>
      </c>
      <c r="F353" s="1" t="s">
        <v>9</v>
      </c>
      <c r="G353" s="1" t="s">
        <v>68</v>
      </c>
      <c r="H353" s="1" t="s">
        <v>256</v>
      </c>
      <c r="I353" s="1" t="s">
        <v>257</v>
      </c>
      <c r="J353" s="1" t="s">
        <v>23</v>
      </c>
      <c r="K353" s="3" t="s">
        <v>73</v>
      </c>
      <c r="L353" s="4">
        <v>150</v>
      </c>
      <c r="M353" s="4">
        <f>50+47+48</f>
        <v>145</v>
      </c>
      <c r="N353" s="5">
        <f t="shared" si="27"/>
        <v>96.666666666666671</v>
      </c>
      <c r="O353" s="1" t="s">
        <v>10</v>
      </c>
      <c r="P353" s="1" t="s">
        <v>10</v>
      </c>
      <c r="Q353" s="5" t="s">
        <v>10</v>
      </c>
      <c r="R353" s="2">
        <v>101</v>
      </c>
      <c r="HZ353" s="34"/>
    </row>
    <row r="354" spans="1:234" ht="15" customHeight="1">
      <c r="A354" s="66" t="s">
        <v>255</v>
      </c>
      <c r="B354" s="2">
        <v>2017</v>
      </c>
      <c r="C354" s="16" t="s">
        <v>607</v>
      </c>
      <c r="D354" s="1" t="s">
        <v>415</v>
      </c>
      <c r="E354" s="1" t="s">
        <v>43</v>
      </c>
      <c r="F354" s="1" t="s">
        <v>9</v>
      </c>
      <c r="G354" s="1" t="s">
        <v>68</v>
      </c>
      <c r="H354" s="1" t="s">
        <v>256</v>
      </c>
      <c r="I354" s="1" t="s">
        <v>257</v>
      </c>
      <c r="J354" s="1" t="s">
        <v>23</v>
      </c>
      <c r="K354" s="3" t="s">
        <v>74</v>
      </c>
      <c r="L354" s="4">
        <f>139</f>
        <v>139</v>
      </c>
      <c r="M354" s="4">
        <f>37+49+46</f>
        <v>132</v>
      </c>
      <c r="N354" s="5">
        <f t="shared" si="27"/>
        <v>94.964028776978424</v>
      </c>
      <c r="O354" s="1" t="s">
        <v>10</v>
      </c>
      <c r="P354" s="1" t="s">
        <v>10</v>
      </c>
      <c r="Q354" s="5" t="s">
        <v>10</v>
      </c>
      <c r="R354" s="2">
        <v>101</v>
      </c>
      <c r="HZ354" s="34"/>
    </row>
    <row r="355" spans="1:234" ht="15" customHeight="1">
      <c r="A355" s="66" t="s">
        <v>255</v>
      </c>
      <c r="B355" s="2">
        <v>2017</v>
      </c>
      <c r="C355" s="16" t="s">
        <v>607</v>
      </c>
      <c r="D355" s="1" t="s">
        <v>415</v>
      </c>
      <c r="E355" s="1" t="s">
        <v>43</v>
      </c>
      <c r="F355" s="1" t="s">
        <v>9</v>
      </c>
      <c r="G355" s="1" t="s">
        <v>68</v>
      </c>
      <c r="H355" s="1" t="s">
        <v>256</v>
      </c>
      <c r="I355" s="1" t="s">
        <v>257</v>
      </c>
      <c r="J355" s="1" t="s">
        <v>23</v>
      </c>
      <c r="K355" s="3" t="s">
        <v>75</v>
      </c>
      <c r="L355" s="4">
        <v>119</v>
      </c>
      <c r="M355" s="4">
        <f>19+49+46</f>
        <v>114</v>
      </c>
      <c r="N355" s="5">
        <f t="shared" si="27"/>
        <v>95.798319327731093</v>
      </c>
      <c r="O355" s="1" t="s">
        <v>10</v>
      </c>
      <c r="P355" s="1" t="s">
        <v>10</v>
      </c>
      <c r="Q355" s="5" t="s">
        <v>10</v>
      </c>
      <c r="R355" s="2">
        <v>101</v>
      </c>
      <c r="HZ355" s="34"/>
    </row>
    <row r="356" spans="1:234" ht="15" customHeight="1">
      <c r="A356" s="66" t="s">
        <v>259</v>
      </c>
      <c r="B356" s="2">
        <v>2016</v>
      </c>
      <c r="C356" s="1" t="s">
        <v>13</v>
      </c>
      <c r="D356" s="1" t="s">
        <v>610</v>
      </c>
      <c r="E356" s="1" t="s">
        <v>260</v>
      </c>
      <c r="F356" s="1" t="s">
        <v>261</v>
      </c>
      <c r="G356" s="1" t="s">
        <v>9</v>
      </c>
      <c r="H356" s="1" t="s">
        <v>262</v>
      </c>
      <c r="I356" s="1" t="s">
        <v>263</v>
      </c>
      <c r="J356" s="1" t="s">
        <v>16</v>
      </c>
      <c r="K356" s="3" t="s">
        <v>264</v>
      </c>
      <c r="L356" s="4">
        <v>1022</v>
      </c>
      <c r="M356" s="4">
        <v>795</v>
      </c>
      <c r="N356" s="5">
        <v>77.7</v>
      </c>
      <c r="O356" s="4">
        <v>1022</v>
      </c>
      <c r="P356" s="4">
        <v>107</v>
      </c>
      <c r="Q356" s="5">
        <v>10.4</v>
      </c>
      <c r="R356" s="2">
        <v>102</v>
      </c>
      <c r="HZ356" s="34"/>
    </row>
    <row r="357" spans="1:234" ht="15" customHeight="1">
      <c r="A357" s="66" t="s">
        <v>259</v>
      </c>
      <c r="B357" s="2">
        <v>2016</v>
      </c>
      <c r="C357" s="1" t="s">
        <v>13</v>
      </c>
      <c r="D357" s="1" t="s">
        <v>610</v>
      </c>
      <c r="E357" s="1" t="s">
        <v>260</v>
      </c>
      <c r="F357" s="1" t="s">
        <v>261</v>
      </c>
      <c r="G357" s="1" t="s">
        <v>9</v>
      </c>
      <c r="H357" s="1" t="s">
        <v>262</v>
      </c>
      <c r="I357" s="1" t="s">
        <v>263</v>
      </c>
      <c r="J357" s="1" t="s">
        <v>23</v>
      </c>
      <c r="K357" s="3" t="s">
        <v>264</v>
      </c>
      <c r="L357" s="4">
        <f>L356-L358</f>
        <v>411</v>
      </c>
      <c r="M357" s="4">
        <f>M356-M358</f>
        <v>308</v>
      </c>
      <c r="N357" s="5">
        <f>M357*100/L357</f>
        <v>74.93917274939173</v>
      </c>
      <c r="O357" s="4">
        <v>411</v>
      </c>
      <c r="P357" s="4">
        <f>107-74</f>
        <v>33</v>
      </c>
      <c r="Q357" s="5">
        <f>P357*100/O357</f>
        <v>8.0291970802919703</v>
      </c>
      <c r="R357" s="2">
        <v>102</v>
      </c>
      <c r="HZ357" s="34"/>
    </row>
    <row r="358" spans="1:234" ht="15" customHeight="1">
      <c r="A358" s="66" t="s">
        <v>259</v>
      </c>
      <c r="B358" s="2">
        <v>2016</v>
      </c>
      <c r="C358" s="1" t="s">
        <v>13</v>
      </c>
      <c r="D358" s="1" t="s">
        <v>610</v>
      </c>
      <c r="E358" s="1" t="s">
        <v>260</v>
      </c>
      <c r="F358" s="1" t="s">
        <v>261</v>
      </c>
      <c r="G358" s="1" t="s">
        <v>9</v>
      </c>
      <c r="H358" s="1" t="s">
        <v>262</v>
      </c>
      <c r="I358" s="1" t="s">
        <v>263</v>
      </c>
      <c r="J358" s="1" t="s">
        <v>11</v>
      </c>
      <c r="K358" s="3" t="s">
        <v>264</v>
      </c>
      <c r="L358" s="4">
        <f>M358+124</f>
        <v>611</v>
      </c>
      <c r="M358" s="4">
        <v>487</v>
      </c>
      <c r="N358" s="5">
        <f>M358*100/L358</f>
        <v>79.705400981996732</v>
      </c>
      <c r="O358" s="4">
        <v>611</v>
      </c>
      <c r="P358" s="4">
        <v>74</v>
      </c>
      <c r="Q358" s="5">
        <f>P358*100/O358</f>
        <v>12.111292962356792</v>
      </c>
      <c r="R358" s="2">
        <v>102</v>
      </c>
      <c r="HZ358" s="34"/>
    </row>
    <row r="359" spans="1:234" ht="15" customHeight="1">
      <c r="A359" s="66" t="s">
        <v>265</v>
      </c>
      <c r="B359" s="2">
        <v>2018</v>
      </c>
      <c r="C359" s="1" t="s">
        <v>13</v>
      </c>
      <c r="D359" s="1" t="s">
        <v>610</v>
      </c>
      <c r="E359" s="1" t="s">
        <v>266</v>
      </c>
      <c r="F359" s="1" t="s">
        <v>267</v>
      </c>
      <c r="G359" s="1" t="s">
        <v>9</v>
      </c>
      <c r="H359" s="1" t="s">
        <v>268</v>
      </c>
      <c r="I359" s="1" t="s">
        <v>269</v>
      </c>
      <c r="J359" s="1" t="s">
        <v>11</v>
      </c>
      <c r="K359" s="3" t="s">
        <v>270</v>
      </c>
      <c r="L359" s="1" t="s">
        <v>10</v>
      </c>
      <c r="M359" s="1" t="s">
        <v>10</v>
      </c>
      <c r="N359" s="5" t="s">
        <v>10</v>
      </c>
      <c r="O359" s="4">
        <v>111</v>
      </c>
      <c r="P359" s="4">
        <v>63</v>
      </c>
      <c r="Q359" s="5">
        <f>P359*100/O359</f>
        <v>56.756756756756758</v>
      </c>
      <c r="R359" s="2">
        <v>103</v>
      </c>
      <c r="HZ359" s="34"/>
    </row>
    <row r="360" spans="1:234" ht="15" customHeight="1">
      <c r="A360" s="66" t="s">
        <v>271</v>
      </c>
      <c r="B360" s="2">
        <v>2017</v>
      </c>
      <c r="C360" s="1" t="s">
        <v>8</v>
      </c>
      <c r="D360" s="1" t="s">
        <v>407</v>
      </c>
      <c r="E360" s="1" t="s">
        <v>272</v>
      </c>
      <c r="F360" s="1" t="s">
        <v>273</v>
      </c>
      <c r="G360" s="1" t="s">
        <v>118</v>
      </c>
      <c r="H360" s="1" t="s">
        <v>22</v>
      </c>
      <c r="I360" s="1" t="s">
        <v>274</v>
      </c>
      <c r="J360" s="1" t="s">
        <v>16</v>
      </c>
      <c r="K360" s="3" t="s">
        <v>275</v>
      </c>
      <c r="L360" s="4">
        <v>535</v>
      </c>
      <c r="M360" s="4">
        <v>425</v>
      </c>
      <c r="N360" s="5">
        <v>79.400000000000006</v>
      </c>
      <c r="O360" s="4">
        <v>535</v>
      </c>
      <c r="P360" s="4">
        <v>69</v>
      </c>
      <c r="Q360" s="5">
        <v>12.9</v>
      </c>
      <c r="R360" s="2">
        <v>104</v>
      </c>
      <c r="HZ360" s="34"/>
    </row>
    <row r="361" spans="1:234" ht="15" customHeight="1">
      <c r="A361" s="66" t="s">
        <v>271</v>
      </c>
      <c r="B361" s="2">
        <v>2017</v>
      </c>
      <c r="C361" s="1" t="s">
        <v>8</v>
      </c>
      <c r="D361" s="1" t="s">
        <v>407</v>
      </c>
      <c r="E361" s="1" t="s">
        <v>272</v>
      </c>
      <c r="F361" s="1" t="s">
        <v>273</v>
      </c>
      <c r="G361" s="1" t="s">
        <v>118</v>
      </c>
      <c r="H361" s="1" t="s">
        <v>22</v>
      </c>
      <c r="I361" s="1" t="s">
        <v>274</v>
      </c>
      <c r="J361" s="1" t="s">
        <v>23</v>
      </c>
      <c r="K361" s="3" t="s">
        <v>275</v>
      </c>
      <c r="L361" s="4">
        <v>261</v>
      </c>
      <c r="M361" s="4">
        <v>207</v>
      </c>
      <c r="N361" s="5">
        <v>79.3</v>
      </c>
      <c r="O361" s="4">
        <v>261</v>
      </c>
      <c r="P361" s="4">
        <v>24</v>
      </c>
      <c r="Q361" s="5">
        <v>9.1999999999999993</v>
      </c>
      <c r="R361" s="2">
        <v>104</v>
      </c>
      <c r="HZ361" s="34"/>
    </row>
    <row r="362" spans="1:234" ht="15" customHeight="1">
      <c r="A362" s="66" t="s">
        <v>271</v>
      </c>
      <c r="B362" s="2">
        <v>2017</v>
      </c>
      <c r="C362" s="1" t="s">
        <v>8</v>
      </c>
      <c r="D362" s="1" t="s">
        <v>407</v>
      </c>
      <c r="E362" s="1" t="s">
        <v>272</v>
      </c>
      <c r="F362" s="1" t="s">
        <v>273</v>
      </c>
      <c r="G362" s="1" t="s">
        <v>118</v>
      </c>
      <c r="H362" s="1" t="s">
        <v>22</v>
      </c>
      <c r="I362" s="1" t="s">
        <v>274</v>
      </c>
      <c r="J362" s="1" t="s">
        <v>11</v>
      </c>
      <c r="K362" s="3" t="s">
        <v>275</v>
      </c>
      <c r="L362" s="4">
        <v>274</v>
      </c>
      <c r="M362" s="4">
        <v>218</v>
      </c>
      <c r="N362" s="5">
        <v>79.599999999999994</v>
      </c>
      <c r="O362" s="4">
        <v>274</v>
      </c>
      <c r="P362" s="4">
        <v>45</v>
      </c>
      <c r="Q362" s="5">
        <v>16.399999999999999</v>
      </c>
      <c r="R362" s="2">
        <v>104</v>
      </c>
      <c r="HZ362" s="34"/>
    </row>
    <row r="363" spans="1:234" ht="15" customHeight="1">
      <c r="A363" s="66" t="s">
        <v>276</v>
      </c>
      <c r="B363" s="2">
        <v>2014</v>
      </c>
      <c r="C363" s="1" t="s">
        <v>13</v>
      </c>
      <c r="D363" s="1" t="s">
        <v>610</v>
      </c>
      <c r="E363" s="1" t="s">
        <v>277</v>
      </c>
      <c r="F363" s="1" t="s">
        <v>9</v>
      </c>
      <c r="G363" s="2">
        <v>2007</v>
      </c>
      <c r="H363" s="1" t="s">
        <v>278</v>
      </c>
      <c r="I363" s="1" t="s">
        <v>89</v>
      </c>
      <c r="J363" s="1" t="s">
        <v>16</v>
      </c>
      <c r="K363" s="3" t="s">
        <v>279</v>
      </c>
      <c r="L363" s="1" t="s">
        <v>10</v>
      </c>
      <c r="M363" s="1" t="s">
        <v>10</v>
      </c>
      <c r="N363" s="5" t="s">
        <v>10</v>
      </c>
      <c r="O363" s="4">
        <v>3408</v>
      </c>
      <c r="P363" s="4">
        <v>1853</v>
      </c>
      <c r="Q363" s="5">
        <v>54.4</v>
      </c>
      <c r="R363" s="2">
        <v>105</v>
      </c>
      <c r="HZ363" s="34"/>
    </row>
    <row r="364" spans="1:234" ht="15" customHeight="1">
      <c r="A364" s="66" t="s">
        <v>276</v>
      </c>
      <c r="B364" s="2">
        <v>2014</v>
      </c>
      <c r="C364" s="1" t="s">
        <v>13</v>
      </c>
      <c r="D364" s="1" t="s">
        <v>610</v>
      </c>
      <c r="E364" s="1" t="s">
        <v>277</v>
      </c>
      <c r="F364" s="1" t="s">
        <v>9</v>
      </c>
      <c r="G364" s="2">
        <v>2007</v>
      </c>
      <c r="H364" s="1" t="s">
        <v>278</v>
      </c>
      <c r="I364" s="1" t="s">
        <v>89</v>
      </c>
      <c r="J364" s="1" t="s">
        <v>16</v>
      </c>
      <c r="K364" s="3" t="s">
        <v>35</v>
      </c>
      <c r="L364" s="1" t="s">
        <v>10</v>
      </c>
      <c r="M364" s="1" t="s">
        <v>10</v>
      </c>
      <c r="N364" s="5" t="s">
        <v>10</v>
      </c>
      <c r="O364" s="4">
        <v>386</v>
      </c>
      <c r="P364" s="4">
        <f t="shared" ref="P364:P371" si="28">Q364*O364/100</f>
        <v>101.904</v>
      </c>
      <c r="Q364" s="5">
        <v>26.4</v>
      </c>
      <c r="R364" s="2">
        <v>105</v>
      </c>
      <c r="HZ364" s="34"/>
    </row>
    <row r="365" spans="1:234" ht="15" customHeight="1">
      <c r="A365" s="66" t="s">
        <v>276</v>
      </c>
      <c r="B365" s="2">
        <v>2014</v>
      </c>
      <c r="C365" s="1" t="s">
        <v>13</v>
      </c>
      <c r="D365" s="1" t="s">
        <v>610</v>
      </c>
      <c r="E365" s="1" t="s">
        <v>277</v>
      </c>
      <c r="F365" s="1" t="s">
        <v>9</v>
      </c>
      <c r="G365" s="2">
        <v>2007</v>
      </c>
      <c r="H365" s="1" t="s">
        <v>278</v>
      </c>
      <c r="I365" s="1" t="s">
        <v>89</v>
      </c>
      <c r="J365" s="1" t="s">
        <v>16</v>
      </c>
      <c r="K365" s="3" t="s">
        <v>189</v>
      </c>
      <c r="L365" s="1" t="s">
        <v>10</v>
      </c>
      <c r="M365" s="1" t="s">
        <v>10</v>
      </c>
      <c r="N365" s="5" t="s">
        <v>10</v>
      </c>
      <c r="O365" s="4">
        <v>560</v>
      </c>
      <c r="P365" s="4">
        <f t="shared" si="28"/>
        <v>276.08</v>
      </c>
      <c r="Q365" s="5">
        <v>49.3</v>
      </c>
      <c r="R365" s="2">
        <v>105</v>
      </c>
      <c r="HZ365" s="34"/>
    </row>
    <row r="366" spans="1:234" ht="15" customHeight="1">
      <c r="A366" s="66" t="s">
        <v>276</v>
      </c>
      <c r="B366" s="2">
        <v>2014</v>
      </c>
      <c r="C366" s="1" t="s">
        <v>13</v>
      </c>
      <c r="D366" s="1" t="s">
        <v>610</v>
      </c>
      <c r="E366" s="1" t="s">
        <v>277</v>
      </c>
      <c r="F366" s="1" t="s">
        <v>9</v>
      </c>
      <c r="G366" s="2">
        <v>2007</v>
      </c>
      <c r="H366" s="1" t="s">
        <v>278</v>
      </c>
      <c r="I366" s="1" t="s">
        <v>89</v>
      </c>
      <c r="J366" s="1" t="s">
        <v>16</v>
      </c>
      <c r="K366" s="3" t="s">
        <v>190</v>
      </c>
      <c r="L366" s="1" t="s">
        <v>10</v>
      </c>
      <c r="M366" s="1" t="s">
        <v>10</v>
      </c>
      <c r="N366" s="5" t="s">
        <v>10</v>
      </c>
      <c r="O366" s="4">
        <v>729</v>
      </c>
      <c r="P366" s="4">
        <f t="shared" si="28"/>
        <v>452.709</v>
      </c>
      <c r="Q366" s="5">
        <v>62.1</v>
      </c>
      <c r="R366" s="2">
        <v>105</v>
      </c>
      <c r="HZ366" s="34"/>
    </row>
    <row r="367" spans="1:234" ht="15" customHeight="1">
      <c r="A367" s="66" t="s">
        <v>276</v>
      </c>
      <c r="B367" s="2">
        <v>2014</v>
      </c>
      <c r="C367" s="1" t="s">
        <v>13</v>
      </c>
      <c r="D367" s="1" t="s">
        <v>610</v>
      </c>
      <c r="E367" s="1" t="s">
        <v>277</v>
      </c>
      <c r="F367" s="1" t="s">
        <v>9</v>
      </c>
      <c r="G367" s="2">
        <v>2007</v>
      </c>
      <c r="H367" s="1" t="s">
        <v>278</v>
      </c>
      <c r="I367" s="1" t="s">
        <v>89</v>
      </c>
      <c r="J367" s="1" t="s">
        <v>16</v>
      </c>
      <c r="K367" s="3" t="s">
        <v>191</v>
      </c>
      <c r="L367" s="1" t="s">
        <v>10</v>
      </c>
      <c r="M367" s="1" t="s">
        <v>10</v>
      </c>
      <c r="N367" s="5" t="s">
        <v>10</v>
      </c>
      <c r="O367" s="4">
        <v>769</v>
      </c>
      <c r="P367" s="4">
        <f t="shared" si="28"/>
        <v>476.01099999999997</v>
      </c>
      <c r="Q367" s="5">
        <v>61.9</v>
      </c>
      <c r="R367" s="2">
        <v>105</v>
      </c>
      <c r="HZ367" s="34"/>
    </row>
    <row r="368" spans="1:234" ht="15" customHeight="1">
      <c r="A368" s="66" t="s">
        <v>276</v>
      </c>
      <c r="B368" s="2">
        <v>2014</v>
      </c>
      <c r="C368" s="1" t="s">
        <v>13</v>
      </c>
      <c r="D368" s="1" t="s">
        <v>610</v>
      </c>
      <c r="E368" s="1" t="s">
        <v>277</v>
      </c>
      <c r="F368" s="1" t="s">
        <v>9</v>
      </c>
      <c r="G368" s="2">
        <v>2007</v>
      </c>
      <c r="H368" s="1" t="s">
        <v>278</v>
      </c>
      <c r="I368" s="1" t="s">
        <v>89</v>
      </c>
      <c r="J368" s="1" t="s">
        <v>16</v>
      </c>
      <c r="K368" s="3" t="s">
        <v>192</v>
      </c>
      <c r="L368" s="1" t="s">
        <v>10</v>
      </c>
      <c r="M368" s="1" t="s">
        <v>10</v>
      </c>
      <c r="N368" s="5" t="s">
        <v>10</v>
      </c>
      <c r="O368" s="4">
        <v>467</v>
      </c>
      <c r="P368" s="4">
        <f t="shared" si="28"/>
        <v>276.93099999999998</v>
      </c>
      <c r="Q368" s="5">
        <v>59.3</v>
      </c>
      <c r="R368" s="2">
        <v>105</v>
      </c>
      <c r="HZ368" s="34"/>
    </row>
    <row r="369" spans="1:234" ht="15" customHeight="1">
      <c r="A369" s="66" t="s">
        <v>276</v>
      </c>
      <c r="B369" s="2">
        <v>2014</v>
      </c>
      <c r="C369" s="1" t="s">
        <v>13</v>
      </c>
      <c r="D369" s="1" t="s">
        <v>610</v>
      </c>
      <c r="E369" s="1" t="s">
        <v>277</v>
      </c>
      <c r="F369" s="1" t="s">
        <v>9</v>
      </c>
      <c r="G369" s="2">
        <v>2007</v>
      </c>
      <c r="H369" s="1" t="s">
        <v>278</v>
      </c>
      <c r="I369" s="1" t="s">
        <v>89</v>
      </c>
      <c r="J369" s="1" t="s">
        <v>16</v>
      </c>
      <c r="K369" s="3" t="s">
        <v>280</v>
      </c>
      <c r="L369" s="1" t="s">
        <v>10</v>
      </c>
      <c r="M369" s="1" t="s">
        <v>10</v>
      </c>
      <c r="N369" s="5" t="s">
        <v>10</v>
      </c>
      <c r="O369" s="4">
        <v>497</v>
      </c>
      <c r="P369" s="4">
        <f t="shared" si="28"/>
        <v>268.87700000000001</v>
      </c>
      <c r="Q369" s="5">
        <v>54.1</v>
      </c>
      <c r="R369" s="2">
        <v>105</v>
      </c>
      <c r="HZ369" s="34"/>
    </row>
    <row r="370" spans="1:234" ht="15" customHeight="1">
      <c r="A370" s="66" t="s">
        <v>276</v>
      </c>
      <c r="B370" s="2">
        <v>2014</v>
      </c>
      <c r="C370" s="1" t="s">
        <v>13</v>
      </c>
      <c r="D370" s="1" t="s">
        <v>610</v>
      </c>
      <c r="E370" s="1" t="s">
        <v>277</v>
      </c>
      <c r="F370" s="1" t="s">
        <v>9</v>
      </c>
      <c r="G370" s="2">
        <v>2007</v>
      </c>
      <c r="H370" s="1" t="s">
        <v>278</v>
      </c>
      <c r="I370" s="1" t="s">
        <v>89</v>
      </c>
      <c r="J370" s="1" t="s">
        <v>23</v>
      </c>
      <c r="K370" s="3" t="s">
        <v>279</v>
      </c>
      <c r="L370" s="1" t="s">
        <v>10</v>
      </c>
      <c r="M370" s="1" t="s">
        <v>10</v>
      </c>
      <c r="N370" s="5" t="s">
        <v>10</v>
      </c>
      <c r="O370" s="4">
        <v>1568</v>
      </c>
      <c r="P370" s="4">
        <f t="shared" si="28"/>
        <v>682.08</v>
      </c>
      <c r="Q370" s="5">
        <v>43.5</v>
      </c>
      <c r="R370" s="2">
        <v>105</v>
      </c>
      <c r="HZ370" s="34"/>
    </row>
    <row r="371" spans="1:234" ht="15" customHeight="1">
      <c r="A371" s="66" t="s">
        <v>276</v>
      </c>
      <c r="B371" s="2">
        <v>2014</v>
      </c>
      <c r="C371" s="1" t="s">
        <v>13</v>
      </c>
      <c r="D371" s="1" t="s">
        <v>610</v>
      </c>
      <c r="E371" s="1" t="s">
        <v>277</v>
      </c>
      <c r="F371" s="1" t="s">
        <v>9</v>
      </c>
      <c r="G371" s="2">
        <v>2007</v>
      </c>
      <c r="H371" s="1" t="s">
        <v>278</v>
      </c>
      <c r="I371" s="1" t="s">
        <v>89</v>
      </c>
      <c r="J371" s="1" t="s">
        <v>11</v>
      </c>
      <c r="K371" s="3" t="s">
        <v>279</v>
      </c>
      <c r="L371" s="1" t="s">
        <v>10</v>
      </c>
      <c r="M371" s="1" t="s">
        <v>10</v>
      </c>
      <c r="N371" s="5" t="s">
        <v>10</v>
      </c>
      <c r="O371" s="4">
        <v>1840</v>
      </c>
      <c r="P371" s="4">
        <f t="shared" si="28"/>
        <v>1170.24</v>
      </c>
      <c r="Q371" s="5">
        <v>63.6</v>
      </c>
      <c r="R371" s="2">
        <v>105</v>
      </c>
      <c r="HZ371" s="34"/>
    </row>
    <row r="372" spans="1:234" ht="15" customHeight="1">
      <c r="A372" s="66" t="s">
        <v>276</v>
      </c>
      <c r="B372" s="2">
        <v>2016</v>
      </c>
      <c r="C372" s="1" t="s">
        <v>13</v>
      </c>
      <c r="D372" s="1" t="s">
        <v>610</v>
      </c>
      <c r="E372" s="1" t="s">
        <v>277</v>
      </c>
      <c r="F372" s="1" t="s">
        <v>9</v>
      </c>
      <c r="G372" s="2">
        <v>2003</v>
      </c>
      <c r="H372" s="1" t="s">
        <v>278</v>
      </c>
      <c r="I372" s="1" t="s">
        <v>89</v>
      </c>
      <c r="J372" s="1" t="s">
        <v>16</v>
      </c>
      <c r="K372" s="25" t="s">
        <v>622</v>
      </c>
      <c r="L372" s="1" t="s">
        <v>10</v>
      </c>
      <c r="M372" s="1" t="s">
        <v>10</v>
      </c>
      <c r="N372" s="5" t="s">
        <v>10</v>
      </c>
      <c r="O372" s="4">
        <v>2144</v>
      </c>
      <c r="P372" s="4">
        <f t="shared" ref="P372:P377" si="29">O372*Q372/100</f>
        <v>1185.6320000000001</v>
      </c>
      <c r="Q372" s="5">
        <v>55.3</v>
      </c>
      <c r="R372" s="2">
        <v>106</v>
      </c>
      <c r="HZ372" s="34"/>
    </row>
    <row r="373" spans="1:234" ht="15" customHeight="1">
      <c r="A373" s="69" t="s">
        <v>276</v>
      </c>
      <c r="B373" s="2">
        <v>2016</v>
      </c>
      <c r="C373" s="1" t="s">
        <v>13</v>
      </c>
      <c r="D373" s="1" t="s">
        <v>610</v>
      </c>
      <c r="E373" s="1" t="s">
        <v>277</v>
      </c>
      <c r="F373" s="1" t="s">
        <v>9</v>
      </c>
      <c r="G373" s="2">
        <v>2007</v>
      </c>
      <c r="H373" s="1" t="s">
        <v>278</v>
      </c>
      <c r="I373" s="1" t="s">
        <v>89</v>
      </c>
      <c r="J373" s="1" t="s">
        <v>16</v>
      </c>
      <c r="K373" s="25" t="s">
        <v>622</v>
      </c>
      <c r="L373" s="1" t="s">
        <v>10</v>
      </c>
      <c r="M373" s="1" t="s">
        <v>10</v>
      </c>
      <c r="N373" s="5" t="s">
        <v>10</v>
      </c>
      <c r="O373" s="4">
        <v>3417</v>
      </c>
      <c r="P373" s="4">
        <f t="shared" si="29"/>
        <v>1858.848</v>
      </c>
      <c r="Q373" s="5">
        <v>54.4</v>
      </c>
      <c r="R373" s="2">
        <v>106</v>
      </c>
      <c r="HZ373" s="34"/>
    </row>
    <row r="374" spans="1:234" ht="15" customHeight="1">
      <c r="A374" s="69" t="s">
        <v>276</v>
      </c>
      <c r="B374" s="2">
        <v>2016</v>
      </c>
      <c r="C374" s="1" t="s">
        <v>13</v>
      </c>
      <c r="D374" s="1" t="s">
        <v>610</v>
      </c>
      <c r="E374" s="1" t="s">
        <v>277</v>
      </c>
      <c r="F374" s="1" t="s">
        <v>9</v>
      </c>
      <c r="G374" s="2">
        <v>2013</v>
      </c>
      <c r="H374" s="1" t="s">
        <v>278</v>
      </c>
      <c r="I374" s="1" t="s">
        <v>89</v>
      </c>
      <c r="J374" s="1" t="s">
        <v>16</v>
      </c>
      <c r="K374" s="25" t="s">
        <v>622</v>
      </c>
      <c r="L374" s="1" t="s">
        <v>10</v>
      </c>
      <c r="M374" s="1" t="s">
        <v>10</v>
      </c>
      <c r="N374" s="5" t="s">
        <v>10</v>
      </c>
      <c r="O374" s="4">
        <v>4713</v>
      </c>
      <c r="P374" s="4">
        <f t="shared" si="29"/>
        <v>2356.5</v>
      </c>
      <c r="Q374" s="5">
        <v>50</v>
      </c>
      <c r="R374" s="2">
        <v>106</v>
      </c>
      <c r="HZ374" s="34"/>
    </row>
    <row r="375" spans="1:234" ht="15" customHeight="1">
      <c r="A375" s="66" t="s">
        <v>281</v>
      </c>
      <c r="B375" s="2">
        <v>2015</v>
      </c>
      <c r="C375" s="1" t="s">
        <v>8</v>
      </c>
      <c r="D375" s="1" t="s">
        <v>408</v>
      </c>
      <c r="E375" s="1" t="s">
        <v>67</v>
      </c>
      <c r="F375" s="1" t="s">
        <v>282</v>
      </c>
      <c r="G375" s="2">
        <v>1992</v>
      </c>
      <c r="H375" s="1" t="s">
        <v>57</v>
      </c>
      <c r="I375" s="1" t="s">
        <v>112</v>
      </c>
      <c r="J375" s="1" t="s">
        <v>11</v>
      </c>
      <c r="K375" s="3" t="s">
        <v>283</v>
      </c>
      <c r="L375" s="4">
        <v>200</v>
      </c>
      <c r="M375" s="4">
        <f>L375*N375/100</f>
        <v>139</v>
      </c>
      <c r="N375" s="5">
        <v>69.5</v>
      </c>
      <c r="O375" s="4">
        <v>200</v>
      </c>
      <c r="P375" s="4">
        <f t="shared" si="29"/>
        <v>35</v>
      </c>
      <c r="Q375" s="5">
        <v>17.5</v>
      </c>
      <c r="R375" s="2">
        <v>107</v>
      </c>
      <c r="HZ375" s="34"/>
    </row>
    <row r="376" spans="1:234" ht="15" customHeight="1">
      <c r="A376" s="66" t="s">
        <v>281</v>
      </c>
      <c r="B376" s="2">
        <v>2015</v>
      </c>
      <c r="C376" s="1" t="s">
        <v>8</v>
      </c>
      <c r="D376" s="1" t="s">
        <v>408</v>
      </c>
      <c r="E376" s="1" t="s">
        <v>67</v>
      </c>
      <c r="F376" s="1" t="s">
        <v>282</v>
      </c>
      <c r="G376" s="2">
        <v>2002</v>
      </c>
      <c r="H376" s="1" t="s">
        <v>57</v>
      </c>
      <c r="I376" s="1" t="s">
        <v>112</v>
      </c>
      <c r="J376" s="1" t="s">
        <v>11</v>
      </c>
      <c r="K376" s="3" t="s">
        <v>283</v>
      </c>
      <c r="L376" s="4">
        <v>200</v>
      </c>
      <c r="M376" s="4">
        <f>L376*N376/100</f>
        <v>113</v>
      </c>
      <c r="N376" s="5">
        <v>56.5</v>
      </c>
      <c r="O376" s="4">
        <v>200</v>
      </c>
      <c r="P376" s="4">
        <f t="shared" si="29"/>
        <v>32</v>
      </c>
      <c r="Q376" s="5">
        <v>16</v>
      </c>
      <c r="R376" s="2">
        <v>107</v>
      </c>
      <c r="HZ376" s="34"/>
    </row>
    <row r="377" spans="1:234" ht="15" customHeight="1">
      <c r="A377" s="66" t="s">
        <v>281</v>
      </c>
      <c r="B377" s="2">
        <v>2015</v>
      </c>
      <c r="C377" s="1" t="s">
        <v>8</v>
      </c>
      <c r="D377" s="1" t="s">
        <v>408</v>
      </c>
      <c r="E377" s="1" t="s">
        <v>67</v>
      </c>
      <c r="F377" s="1" t="s">
        <v>282</v>
      </c>
      <c r="G377" s="2">
        <v>2012</v>
      </c>
      <c r="H377" s="1" t="s">
        <v>57</v>
      </c>
      <c r="I377" s="1" t="s">
        <v>112</v>
      </c>
      <c r="J377" s="1" t="s">
        <v>11</v>
      </c>
      <c r="K377" s="3" t="s">
        <v>283</v>
      </c>
      <c r="L377" s="4">
        <v>200</v>
      </c>
      <c r="M377" s="4">
        <f>L377*N377/100</f>
        <v>90</v>
      </c>
      <c r="N377" s="5">
        <v>45</v>
      </c>
      <c r="O377" s="4">
        <v>200</v>
      </c>
      <c r="P377" s="4">
        <f t="shared" si="29"/>
        <v>22</v>
      </c>
      <c r="Q377" s="5">
        <v>11</v>
      </c>
      <c r="R377" s="2">
        <v>107</v>
      </c>
      <c r="HZ377" s="34"/>
    </row>
    <row r="378" spans="1:234" ht="15" customHeight="1">
      <c r="A378" s="66" t="s">
        <v>281</v>
      </c>
      <c r="B378" s="2">
        <v>2015</v>
      </c>
      <c r="C378" s="1" t="s">
        <v>8</v>
      </c>
      <c r="D378" s="1" t="s">
        <v>408</v>
      </c>
      <c r="E378" s="1" t="s">
        <v>67</v>
      </c>
      <c r="F378" s="1" t="s">
        <v>282</v>
      </c>
      <c r="G378" s="1" t="s">
        <v>284</v>
      </c>
      <c r="H378" s="1" t="s">
        <v>57</v>
      </c>
      <c r="I378" s="1" t="s">
        <v>112</v>
      </c>
      <c r="J378" s="1" t="s">
        <v>11</v>
      </c>
      <c r="K378" s="3" t="s">
        <v>195</v>
      </c>
      <c r="L378" s="4">
        <v>38</v>
      </c>
      <c r="M378" s="4">
        <f>N378*L378/100</f>
        <v>19</v>
      </c>
      <c r="N378" s="5">
        <v>50</v>
      </c>
      <c r="O378" s="4">
        <v>38</v>
      </c>
      <c r="P378" s="4">
        <f>Q378*O378/100</f>
        <v>2.0140000000000002</v>
      </c>
      <c r="Q378" s="5">
        <v>5.3</v>
      </c>
      <c r="R378" s="2">
        <v>107</v>
      </c>
      <c r="HZ378" s="34"/>
    </row>
    <row r="379" spans="1:234" ht="15" customHeight="1">
      <c r="A379" s="66" t="s">
        <v>281</v>
      </c>
      <c r="B379" s="2">
        <v>2015</v>
      </c>
      <c r="C379" s="1" t="s">
        <v>8</v>
      </c>
      <c r="D379" s="1" t="s">
        <v>408</v>
      </c>
      <c r="E379" s="1" t="s">
        <v>67</v>
      </c>
      <c r="F379" s="1" t="s">
        <v>282</v>
      </c>
      <c r="G379" s="1" t="s">
        <v>284</v>
      </c>
      <c r="H379" s="1" t="s">
        <v>57</v>
      </c>
      <c r="I379" s="1" t="s">
        <v>112</v>
      </c>
      <c r="J379" s="1" t="s">
        <v>11</v>
      </c>
      <c r="K379" s="3" t="s">
        <v>25</v>
      </c>
      <c r="L379" s="4">
        <v>101</v>
      </c>
      <c r="M379" s="4">
        <f>N379*L379/100</f>
        <v>52.015000000000001</v>
      </c>
      <c r="N379" s="5">
        <v>51.5</v>
      </c>
      <c r="O379" s="4">
        <v>101</v>
      </c>
      <c r="P379" s="4">
        <f>Q379*O379/100</f>
        <v>5.9590000000000005</v>
      </c>
      <c r="Q379" s="5">
        <v>5.9</v>
      </c>
      <c r="R379" s="2">
        <v>107</v>
      </c>
      <c r="HZ379" s="34"/>
    </row>
    <row r="380" spans="1:234" ht="15" customHeight="1">
      <c r="A380" s="66" t="s">
        <v>281</v>
      </c>
      <c r="B380" s="2">
        <v>2015</v>
      </c>
      <c r="C380" s="1" t="s">
        <v>8</v>
      </c>
      <c r="D380" s="1" t="s">
        <v>408</v>
      </c>
      <c r="E380" s="1" t="s">
        <v>67</v>
      </c>
      <c r="F380" s="1" t="s">
        <v>282</v>
      </c>
      <c r="G380" s="1" t="s">
        <v>284</v>
      </c>
      <c r="H380" s="1" t="s">
        <v>57</v>
      </c>
      <c r="I380" s="1" t="s">
        <v>112</v>
      </c>
      <c r="J380" s="1" t="s">
        <v>11</v>
      </c>
      <c r="K380" s="3" t="s">
        <v>26</v>
      </c>
      <c r="L380" s="4">
        <v>228</v>
      </c>
      <c r="M380" s="4">
        <f>N380*L380/100</f>
        <v>118.104</v>
      </c>
      <c r="N380" s="5">
        <v>51.8</v>
      </c>
      <c r="O380" s="4">
        <v>228</v>
      </c>
      <c r="P380" s="4">
        <f>Q380*O380/100</f>
        <v>33.06</v>
      </c>
      <c r="Q380" s="5">
        <v>14.5</v>
      </c>
      <c r="R380" s="2">
        <v>107</v>
      </c>
      <c r="HZ380" s="34"/>
    </row>
    <row r="381" spans="1:234" ht="15" customHeight="1">
      <c r="A381" s="66" t="s">
        <v>281</v>
      </c>
      <c r="B381" s="2">
        <v>2015</v>
      </c>
      <c r="C381" s="1" t="s">
        <v>8</v>
      </c>
      <c r="D381" s="1" t="s">
        <v>408</v>
      </c>
      <c r="E381" s="1" t="s">
        <v>67</v>
      </c>
      <c r="F381" s="1" t="s">
        <v>282</v>
      </c>
      <c r="G381" s="1" t="s">
        <v>284</v>
      </c>
      <c r="H381" s="1" t="s">
        <v>57</v>
      </c>
      <c r="I381" s="1" t="s">
        <v>112</v>
      </c>
      <c r="J381" s="1" t="s">
        <v>11</v>
      </c>
      <c r="K381" s="3" t="s">
        <v>27</v>
      </c>
      <c r="L381" s="4">
        <v>150</v>
      </c>
      <c r="M381" s="4">
        <f>N381*L381/100</f>
        <v>94.95</v>
      </c>
      <c r="N381" s="5">
        <v>63.3</v>
      </c>
      <c r="O381" s="4">
        <v>150</v>
      </c>
      <c r="P381" s="4">
        <f>Q381*O381/100</f>
        <v>25.95</v>
      </c>
      <c r="Q381" s="5">
        <v>17.3</v>
      </c>
      <c r="R381" s="2">
        <v>107</v>
      </c>
      <c r="HZ381" s="34"/>
    </row>
    <row r="382" spans="1:234" ht="15" customHeight="1">
      <c r="A382" s="66" t="s">
        <v>281</v>
      </c>
      <c r="B382" s="2">
        <v>2015</v>
      </c>
      <c r="C382" s="1" t="s">
        <v>8</v>
      </c>
      <c r="D382" s="1" t="s">
        <v>408</v>
      </c>
      <c r="E382" s="1" t="s">
        <v>67</v>
      </c>
      <c r="F382" s="1" t="s">
        <v>282</v>
      </c>
      <c r="G382" s="1" t="s">
        <v>284</v>
      </c>
      <c r="H382" s="1" t="s">
        <v>57</v>
      </c>
      <c r="I382" s="1" t="s">
        <v>112</v>
      </c>
      <c r="J382" s="1" t="s">
        <v>11</v>
      </c>
      <c r="K382" s="3" t="s">
        <v>285</v>
      </c>
      <c r="L382" s="4">
        <v>83</v>
      </c>
      <c r="M382" s="4">
        <f>N382*L382/100</f>
        <v>58.01700000000001</v>
      </c>
      <c r="N382" s="5">
        <v>69.900000000000006</v>
      </c>
      <c r="O382" s="4">
        <v>83</v>
      </c>
      <c r="P382" s="4">
        <f>Q382*O382/100</f>
        <v>20.999000000000002</v>
      </c>
      <c r="Q382" s="5">
        <v>25.3</v>
      </c>
      <c r="R382" s="2">
        <v>107</v>
      </c>
      <c r="HZ382" s="34"/>
    </row>
    <row r="383" spans="1:234" s="46" customFormat="1" ht="15" customHeight="1">
      <c r="A383" s="70" t="s">
        <v>286</v>
      </c>
      <c r="B383" s="17">
        <v>2013</v>
      </c>
      <c r="C383" s="18" t="s">
        <v>13</v>
      </c>
      <c r="D383" s="18" t="s">
        <v>122</v>
      </c>
      <c r="E383" s="18" t="s">
        <v>287</v>
      </c>
      <c r="F383" s="18" t="s">
        <v>9</v>
      </c>
      <c r="G383" s="18" t="s">
        <v>194</v>
      </c>
      <c r="H383" s="18" t="s">
        <v>362</v>
      </c>
      <c r="I383" s="18" t="s">
        <v>112</v>
      </c>
      <c r="J383" s="18" t="s">
        <v>11</v>
      </c>
      <c r="K383" s="19" t="s">
        <v>288</v>
      </c>
      <c r="L383" s="20">
        <v>290</v>
      </c>
      <c r="M383" s="20">
        <v>254</v>
      </c>
      <c r="N383" s="21">
        <f>M383*100/L383</f>
        <v>87.58620689655173</v>
      </c>
      <c r="O383" s="20">
        <v>290</v>
      </c>
      <c r="P383" s="20">
        <v>135</v>
      </c>
      <c r="Q383" s="21">
        <f>P383*100/O383</f>
        <v>46.551724137931032</v>
      </c>
      <c r="R383" s="17">
        <v>108</v>
      </c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</row>
    <row r="384" spans="1:234" ht="15" customHeight="1">
      <c r="A384" s="66" t="s">
        <v>289</v>
      </c>
      <c r="B384" s="2">
        <v>2015</v>
      </c>
      <c r="C384" s="1" t="s">
        <v>13</v>
      </c>
      <c r="D384" s="1" t="s">
        <v>610</v>
      </c>
      <c r="E384" s="1" t="s">
        <v>266</v>
      </c>
      <c r="F384" s="1" t="s">
        <v>290</v>
      </c>
      <c r="G384" s="1" t="s">
        <v>291</v>
      </c>
      <c r="H384" s="1" t="s">
        <v>268</v>
      </c>
      <c r="I384" s="1" t="s">
        <v>400</v>
      </c>
      <c r="J384" s="1" t="s">
        <v>16</v>
      </c>
      <c r="K384" s="3" t="s">
        <v>292</v>
      </c>
      <c r="L384" s="4">
        <v>1932</v>
      </c>
      <c r="M384" s="4">
        <f>L384*N384/100</f>
        <v>1584.24</v>
      </c>
      <c r="N384" s="5">
        <v>82</v>
      </c>
      <c r="O384" s="4">
        <v>1932</v>
      </c>
      <c r="P384" s="4">
        <f>O384*Q384/100</f>
        <v>459.81599999999997</v>
      </c>
      <c r="Q384" s="5">
        <v>23.8</v>
      </c>
      <c r="R384" s="2">
        <v>109</v>
      </c>
      <c r="HZ384" s="34"/>
    </row>
    <row r="385" spans="1:234" ht="15" customHeight="1">
      <c r="A385" s="66" t="s">
        <v>293</v>
      </c>
      <c r="B385" s="2">
        <v>2018</v>
      </c>
      <c r="C385" s="1" t="s">
        <v>13</v>
      </c>
      <c r="D385" s="1" t="s">
        <v>414</v>
      </c>
      <c r="E385" s="1" t="s">
        <v>43</v>
      </c>
      <c r="F385" s="1" t="s">
        <v>294</v>
      </c>
      <c r="G385" s="2">
        <v>2012</v>
      </c>
      <c r="H385" s="1" t="s">
        <v>22</v>
      </c>
      <c r="I385" s="1" t="s">
        <v>101</v>
      </c>
      <c r="J385" s="1" t="s">
        <v>16</v>
      </c>
      <c r="K385" s="3" t="s">
        <v>295</v>
      </c>
      <c r="L385" s="1" t="s">
        <v>10</v>
      </c>
      <c r="M385" s="1" t="s">
        <v>10</v>
      </c>
      <c r="N385" s="5" t="s">
        <v>10</v>
      </c>
      <c r="O385" s="4">
        <f>O393+O401</f>
        <v>60760117</v>
      </c>
      <c r="P385" s="4">
        <f>P393+P401</f>
        <v>6044196</v>
      </c>
      <c r="Q385" s="5">
        <f>P385*100/O385</f>
        <v>9.9476371976044753</v>
      </c>
      <c r="R385" s="2">
        <v>110</v>
      </c>
      <c r="HZ385" s="34"/>
    </row>
    <row r="386" spans="1:234" ht="15" customHeight="1">
      <c r="A386" s="66" t="s">
        <v>293</v>
      </c>
      <c r="B386" s="2">
        <v>2018</v>
      </c>
      <c r="C386" s="1" t="s">
        <v>13</v>
      </c>
      <c r="D386" s="1" t="s">
        <v>414</v>
      </c>
      <c r="E386" s="1" t="s">
        <v>43</v>
      </c>
      <c r="F386" s="1" t="s">
        <v>294</v>
      </c>
      <c r="G386" s="2">
        <v>2012</v>
      </c>
      <c r="H386" s="1" t="s">
        <v>22</v>
      </c>
      <c r="I386" s="1" t="s">
        <v>101</v>
      </c>
      <c r="J386" s="1" t="s">
        <v>16</v>
      </c>
      <c r="K386" s="3" t="s">
        <v>24</v>
      </c>
      <c r="L386" s="1" t="s">
        <v>10</v>
      </c>
      <c r="M386" s="1" t="s">
        <v>10</v>
      </c>
      <c r="N386" s="5" t="s">
        <v>10</v>
      </c>
      <c r="O386" s="4"/>
      <c r="P386" s="4"/>
      <c r="Q386" s="5">
        <v>2.4</v>
      </c>
      <c r="R386" s="2">
        <v>110</v>
      </c>
      <c r="HZ386" s="34"/>
    </row>
    <row r="387" spans="1:234" ht="15" customHeight="1">
      <c r="A387" s="66" t="s">
        <v>293</v>
      </c>
      <c r="B387" s="2">
        <v>2018</v>
      </c>
      <c r="C387" s="1" t="s">
        <v>13</v>
      </c>
      <c r="D387" s="1" t="s">
        <v>414</v>
      </c>
      <c r="E387" s="1" t="s">
        <v>43</v>
      </c>
      <c r="F387" s="1" t="s">
        <v>294</v>
      </c>
      <c r="G387" s="2">
        <v>2012</v>
      </c>
      <c r="H387" s="1" t="s">
        <v>22</v>
      </c>
      <c r="I387" s="1" t="s">
        <v>101</v>
      </c>
      <c r="J387" s="1" t="s">
        <v>16</v>
      </c>
      <c r="K387" s="3" t="s">
        <v>25</v>
      </c>
      <c r="L387" s="1" t="s">
        <v>10</v>
      </c>
      <c r="M387" s="1" t="s">
        <v>10</v>
      </c>
      <c r="N387" s="5" t="s">
        <v>10</v>
      </c>
      <c r="O387" s="4"/>
      <c r="P387" s="4"/>
      <c r="Q387" s="5">
        <v>4</v>
      </c>
      <c r="R387" s="2">
        <v>110</v>
      </c>
      <c r="HZ387" s="34"/>
    </row>
    <row r="388" spans="1:234" ht="15" customHeight="1">
      <c r="A388" s="66" t="s">
        <v>293</v>
      </c>
      <c r="B388" s="2">
        <v>2018</v>
      </c>
      <c r="C388" s="1" t="s">
        <v>13</v>
      </c>
      <c r="D388" s="1" t="s">
        <v>414</v>
      </c>
      <c r="E388" s="1" t="s">
        <v>43</v>
      </c>
      <c r="F388" s="1" t="s">
        <v>294</v>
      </c>
      <c r="G388" s="2">
        <v>2012</v>
      </c>
      <c r="H388" s="1" t="s">
        <v>22</v>
      </c>
      <c r="I388" s="1" t="s">
        <v>101</v>
      </c>
      <c r="J388" s="1" t="s">
        <v>16</v>
      </c>
      <c r="K388" s="3" t="s">
        <v>26</v>
      </c>
      <c r="L388" s="1" t="s">
        <v>10</v>
      </c>
      <c r="M388" s="1" t="s">
        <v>10</v>
      </c>
      <c r="N388" s="5" t="s">
        <v>10</v>
      </c>
      <c r="O388" s="4"/>
      <c r="P388" s="4"/>
      <c r="Q388" s="5">
        <v>7.6</v>
      </c>
      <c r="R388" s="2">
        <v>110</v>
      </c>
      <c r="HZ388" s="34"/>
    </row>
    <row r="389" spans="1:234" ht="15" customHeight="1">
      <c r="A389" s="66" t="s">
        <v>293</v>
      </c>
      <c r="B389" s="2">
        <v>2018</v>
      </c>
      <c r="C389" s="1" t="s">
        <v>13</v>
      </c>
      <c r="D389" s="1" t="s">
        <v>414</v>
      </c>
      <c r="E389" s="1" t="s">
        <v>43</v>
      </c>
      <c r="F389" s="1" t="s">
        <v>294</v>
      </c>
      <c r="G389" s="2">
        <v>2012</v>
      </c>
      <c r="H389" s="1" t="s">
        <v>22</v>
      </c>
      <c r="I389" s="1" t="s">
        <v>101</v>
      </c>
      <c r="J389" s="1" t="s">
        <v>16</v>
      </c>
      <c r="K389" s="3" t="s">
        <v>27</v>
      </c>
      <c r="L389" s="1" t="s">
        <v>10</v>
      </c>
      <c r="M389" s="1" t="s">
        <v>10</v>
      </c>
      <c r="N389" s="5" t="s">
        <v>10</v>
      </c>
      <c r="O389" s="4"/>
      <c r="P389" s="4"/>
      <c r="Q389" s="5">
        <v>11.8</v>
      </c>
      <c r="R389" s="2">
        <v>110</v>
      </c>
      <c r="HZ389" s="34"/>
    </row>
    <row r="390" spans="1:234" ht="15" customHeight="1">
      <c r="A390" s="66" t="s">
        <v>293</v>
      </c>
      <c r="B390" s="2">
        <v>2018</v>
      </c>
      <c r="C390" s="1" t="s">
        <v>13</v>
      </c>
      <c r="D390" s="1" t="s">
        <v>414</v>
      </c>
      <c r="E390" s="1" t="s">
        <v>43</v>
      </c>
      <c r="F390" s="1" t="s">
        <v>294</v>
      </c>
      <c r="G390" s="2">
        <v>2012</v>
      </c>
      <c r="H390" s="1" t="s">
        <v>22</v>
      </c>
      <c r="I390" s="1" t="s">
        <v>101</v>
      </c>
      <c r="J390" s="1" t="s">
        <v>16</v>
      </c>
      <c r="K390" s="3" t="s">
        <v>28</v>
      </c>
      <c r="L390" s="1" t="s">
        <v>10</v>
      </c>
      <c r="M390" s="1" t="s">
        <v>10</v>
      </c>
      <c r="N390" s="5" t="s">
        <v>10</v>
      </c>
      <c r="O390" s="4"/>
      <c r="P390" s="4"/>
      <c r="Q390" s="5">
        <v>13.2</v>
      </c>
      <c r="R390" s="2">
        <v>110</v>
      </c>
      <c r="HZ390" s="34"/>
    </row>
    <row r="391" spans="1:234" ht="15" customHeight="1">
      <c r="A391" s="66" t="s">
        <v>293</v>
      </c>
      <c r="B391" s="2">
        <v>2018</v>
      </c>
      <c r="C391" s="1" t="s">
        <v>13</v>
      </c>
      <c r="D391" s="1" t="s">
        <v>414</v>
      </c>
      <c r="E391" s="1" t="s">
        <v>43</v>
      </c>
      <c r="F391" s="1" t="s">
        <v>294</v>
      </c>
      <c r="G391" s="2">
        <v>2012</v>
      </c>
      <c r="H391" s="1" t="s">
        <v>22</v>
      </c>
      <c r="I391" s="1" t="s">
        <v>101</v>
      </c>
      <c r="J391" s="1" t="s">
        <v>16</v>
      </c>
      <c r="K391" s="3" t="s">
        <v>72</v>
      </c>
      <c r="L391" s="1" t="s">
        <v>10</v>
      </c>
      <c r="M391" s="1" t="s">
        <v>10</v>
      </c>
      <c r="N391" s="5" t="s">
        <v>10</v>
      </c>
      <c r="O391" s="4"/>
      <c r="P391" s="4"/>
      <c r="Q391" s="5">
        <v>15.3</v>
      </c>
      <c r="R391" s="2">
        <v>110</v>
      </c>
      <c r="HZ391" s="34"/>
    </row>
    <row r="392" spans="1:234" ht="15" customHeight="1">
      <c r="A392" s="66" t="s">
        <v>293</v>
      </c>
      <c r="B392" s="2">
        <v>2018</v>
      </c>
      <c r="C392" s="1" t="s">
        <v>13</v>
      </c>
      <c r="D392" s="1" t="s">
        <v>414</v>
      </c>
      <c r="E392" s="1" t="s">
        <v>43</v>
      </c>
      <c r="F392" s="1" t="s">
        <v>294</v>
      </c>
      <c r="G392" s="2">
        <v>2012</v>
      </c>
      <c r="H392" s="1" t="s">
        <v>22</v>
      </c>
      <c r="I392" s="1" t="s">
        <v>101</v>
      </c>
      <c r="J392" s="1" t="s">
        <v>16</v>
      </c>
      <c r="K392" s="3" t="s">
        <v>73</v>
      </c>
      <c r="L392" s="1" t="s">
        <v>10</v>
      </c>
      <c r="M392" s="1" t="s">
        <v>10</v>
      </c>
      <c r="N392" s="5" t="s">
        <v>10</v>
      </c>
      <c r="O392" s="4"/>
      <c r="P392" s="4"/>
      <c r="Q392" s="5">
        <v>24.3</v>
      </c>
      <c r="R392" s="2">
        <v>110</v>
      </c>
      <c r="HZ392" s="34"/>
    </row>
    <row r="393" spans="1:234" ht="15" customHeight="1">
      <c r="A393" s="66" t="s">
        <v>293</v>
      </c>
      <c r="B393" s="2">
        <v>2018</v>
      </c>
      <c r="C393" s="1" t="s">
        <v>13</v>
      </c>
      <c r="D393" s="1" t="s">
        <v>414</v>
      </c>
      <c r="E393" s="1" t="s">
        <v>43</v>
      </c>
      <c r="F393" s="1" t="s">
        <v>294</v>
      </c>
      <c r="G393" s="2">
        <v>2012</v>
      </c>
      <c r="H393" s="1" t="s">
        <v>22</v>
      </c>
      <c r="I393" s="1" t="s">
        <v>101</v>
      </c>
      <c r="J393" s="1" t="s">
        <v>23</v>
      </c>
      <c r="K393" s="3" t="s">
        <v>295</v>
      </c>
      <c r="L393" s="1" t="s">
        <v>10</v>
      </c>
      <c r="M393" s="1" t="s">
        <v>10</v>
      </c>
      <c r="N393" s="5" t="s">
        <v>10</v>
      </c>
      <c r="O393" s="4">
        <v>29252385</v>
      </c>
      <c r="P393" s="4">
        <v>2202774</v>
      </c>
      <c r="Q393" s="5">
        <v>7.5</v>
      </c>
      <c r="R393" s="2">
        <v>110</v>
      </c>
      <c r="HZ393" s="34"/>
    </row>
    <row r="394" spans="1:234" ht="15" customHeight="1">
      <c r="A394" s="66" t="s">
        <v>293</v>
      </c>
      <c r="B394" s="2">
        <v>2018</v>
      </c>
      <c r="C394" s="1" t="s">
        <v>13</v>
      </c>
      <c r="D394" s="1" t="s">
        <v>414</v>
      </c>
      <c r="E394" s="1" t="s">
        <v>43</v>
      </c>
      <c r="F394" s="1" t="s">
        <v>294</v>
      </c>
      <c r="G394" s="2">
        <v>2012</v>
      </c>
      <c r="H394" s="1" t="s">
        <v>22</v>
      </c>
      <c r="I394" s="1" t="s">
        <v>101</v>
      </c>
      <c r="J394" s="1" t="s">
        <v>23</v>
      </c>
      <c r="K394" s="3" t="s">
        <v>24</v>
      </c>
      <c r="L394" s="1" t="s">
        <v>10</v>
      </c>
      <c r="M394" s="1" t="s">
        <v>10</v>
      </c>
      <c r="N394" s="5" t="s">
        <v>10</v>
      </c>
      <c r="O394" s="4"/>
      <c r="P394" s="4"/>
      <c r="Q394" s="5">
        <v>2</v>
      </c>
      <c r="R394" s="2">
        <v>110</v>
      </c>
      <c r="HZ394" s="34"/>
    </row>
    <row r="395" spans="1:234" ht="15" customHeight="1">
      <c r="A395" s="66" t="s">
        <v>293</v>
      </c>
      <c r="B395" s="2">
        <v>2018</v>
      </c>
      <c r="C395" s="1" t="s">
        <v>13</v>
      </c>
      <c r="D395" s="1" t="s">
        <v>414</v>
      </c>
      <c r="E395" s="1" t="s">
        <v>43</v>
      </c>
      <c r="F395" s="1" t="s">
        <v>294</v>
      </c>
      <c r="G395" s="2">
        <v>2012</v>
      </c>
      <c r="H395" s="1" t="s">
        <v>22</v>
      </c>
      <c r="I395" s="1" t="s">
        <v>101</v>
      </c>
      <c r="J395" s="1" t="s">
        <v>23</v>
      </c>
      <c r="K395" s="3" t="s">
        <v>25</v>
      </c>
      <c r="L395" s="1" t="s">
        <v>10</v>
      </c>
      <c r="M395" s="1" t="s">
        <v>10</v>
      </c>
      <c r="N395" s="5" t="s">
        <v>10</v>
      </c>
      <c r="O395" s="4"/>
      <c r="P395" s="4"/>
      <c r="Q395" s="5">
        <v>3.8</v>
      </c>
      <c r="R395" s="2">
        <v>110</v>
      </c>
      <c r="HZ395" s="34"/>
    </row>
    <row r="396" spans="1:234" ht="15" customHeight="1">
      <c r="A396" s="66" t="s">
        <v>293</v>
      </c>
      <c r="B396" s="2">
        <v>2018</v>
      </c>
      <c r="C396" s="1" t="s">
        <v>13</v>
      </c>
      <c r="D396" s="1" t="s">
        <v>414</v>
      </c>
      <c r="E396" s="1" t="s">
        <v>43</v>
      </c>
      <c r="F396" s="1" t="s">
        <v>294</v>
      </c>
      <c r="G396" s="2">
        <v>2012</v>
      </c>
      <c r="H396" s="1" t="s">
        <v>22</v>
      </c>
      <c r="I396" s="1" t="s">
        <v>101</v>
      </c>
      <c r="J396" s="1" t="s">
        <v>23</v>
      </c>
      <c r="K396" s="3" t="s">
        <v>26</v>
      </c>
      <c r="L396" s="1" t="s">
        <v>10</v>
      </c>
      <c r="M396" s="1" t="s">
        <v>10</v>
      </c>
      <c r="N396" s="5" t="s">
        <v>10</v>
      </c>
      <c r="O396" s="4"/>
      <c r="P396" s="4"/>
      <c r="Q396" s="5">
        <v>5.0999999999999996</v>
      </c>
      <c r="R396" s="2">
        <v>110</v>
      </c>
      <c r="HZ396" s="34"/>
    </row>
    <row r="397" spans="1:234" ht="15" customHeight="1">
      <c r="A397" s="66" t="s">
        <v>293</v>
      </c>
      <c r="B397" s="2">
        <v>2018</v>
      </c>
      <c r="C397" s="1" t="s">
        <v>13</v>
      </c>
      <c r="D397" s="1" t="s">
        <v>414</v>
      </c>
      <c r="E397" s="1" t="s">
        <v>43</v>
      </c>
      <c r="F397" s="1" t="s">
        <v>294</v>
      </c>
      <c r="G397" s="2">
        <v>2012</v>
      </c>
      <c r="H397" s="1" t="s">
        <v>22</v>
      </c>
      <c r="I397" s="1" t="s">
        <v>101</v>
      </c>
      <c r="J397" s="1" t="s">
        <v>23</v>
      </c>
      <c r="K397" s="3" t="s">
        <v>27</v>
      </c>
      <c r="L397" s="1" t="s">
        <v>10</v>
      </c>
      <c r="M397" s="1" t="s">
        <v>10</v>
      </c>
      <c r="N397" s="5" t="s">
        <v>10</v>
      </c>
      <c r="O397" s="4"/>
      <c r="P397" s="4"/>
      <c r="Q397" s="5">
        <v>9</v>
      </c>
      <c r="R397" s="2">
        <v>110</v>
      </c>
      <c r="HZ397" s="34"/>
    </row>
    <row r="398" spans="1:234" ht="15" customHeight="1">
      <c r="A398" s="66" t="s">
        <v>293</v>
      </c>
      <c r="B398" s="2">
        <v>2018</v>
      </c>
      <c r="C398" s="1" t="s">
        <v>13</v>
      </c>
      <c r="D398" s="1" t="s">
        <v>414</v>
      </c>
      <c r="E398" s="1" t="s">
        <v>43</v>
      </c>
      <c r="F398" s="1" t="s">
        <v>294</v>
      </c>
      <c r="G398" s="2">
        <v>2012</v>
      </c>
      <c r="H398" s="1" t="s">
        <v>22</v>
      </c>
      <c r="I398" s="1" t="s">
        <v>101</v>
      </c>
      <c r="J398" s="1" t="s">
        <v>23</v>
      </c>
      <c r="K398" s="3" t="s">
        <v>28</v>
      </c>
      <c r="L398" s="1" t="s">
        <v>10</v>
      </c>
      <c r="M398" s="1" t="s">
        <v>10</v>
      </c>
      <c r="N398" s="5" t="s">
        <v>10</v>
      </c>
      <c r="O398" s="4"/>
      <c r="P398" s="4"/>
      <c r="Q398" s="5">
        <v>9.4</v>
      </c>
      <c r="R398" s="2">
        <v>110</v>
      </c>
      <c r="HZ398" s="34"/>
    </row>
    <row r="399" spans="1:234" ht="15" customHeight="1">
      <c r="A399" s="66" t="s">
        <v>293</v>
      </c>
      <c r="B399" s="2">
        <v>2018</v>
      </c>
      <c r="C399" s="1" t="s">
        <v>13</v>
      </c>
      <c r="D399" s="1" t="s">
        <v>414</v>
      </c>
      <c r="E399" s="1" t="s">
        <v>43</v>
      </c>
      <c r="F399" s="1" t="s">
        <v>294</v>
      </c>
      <c r="G399" s="2">
        <v>2012</v>
      </c>
      <c r="H399" s="1" t="s">
        <v>22</v>
      </c>
      <c r="I399" s="1" t="s">
        <v>101</v>
      </c>
      <c r="J399" s="1" t="s">
        <v>23</v>
      </c>
      <c r="K399" s="3" t="s">
        <v>72</v>
      </c>
      <c r="L399" s="1" t="s">
        <v>10</v>
      </c>
      <c r="M399" s="1" t="s">
        <v>10</v>
      </c>
      <c r="N399" s="5" t="s">
        <v>10</v>
      </c>
      <c r="O399" s="4"/>
      <c r="P399" s="4"/>
      <c r="Q399" s="5">
        <v>11.4</v>
      </c>
      <c r="R399" s="2">
        <v>110</v>
      </c>
      <c r="HZ399" s="34"/>
    </row>
    <row r="400" spans="1:234" ht="15" customHeight="1">
      <c r="A400" s="66" t="s">
        <v>293</v>
      </c>
      <c r="B400" s="2">
        <v>2018</v>
      </c>
      <c r="C400" s="1" t="s">
        <v>13</v>
      </c>
      <c r="D400" s="1" t="s">
        <v>414</v>
      </c>
      <c r="E400" s="1" t="s">
        <v>43</v>
      </c>
      <c r="F400" s="1" t="s">
        <v>294</v>
      </c>
      <c r="G400" s="2">
        <v>2012</v>
      </c>
      <c r="H400" s="1" t="s">
        <v>22</v>
      </c>
      <c r="I400" s="1" t="s">
        <v>101</v>
      </c>
      <c r="J400" s="1" t="s">
        <v>23</v>
      </c>
      <c r="K400" s="3" t="s">
        <v>73</v>
      </c>
      <c r="L400" s="1" t="s">
        <v>10</v>
      </c>
      <c r="M400" s="1" t="s">
        <v>10</v>
      </c>
      <c r="N400" s="5" t="s">
        <v>10</v>
      </c>
      <c r="O400" s="4"/>
      <c r="P400" s="4"/>
      <c r="Q400" s="5">
        <v>19.8</v>
      </c>
      <c r="R400" s="2">
        <v>110</v>
      </c>
      <c r="HZ400" s="34"/>
    </row>
    <row r="401" spans="1:234" ht="15" customHeight="1">
      <c r="A401" s="66" t="s">
        <v>293</v>
      </c>
      <c r="B401" s="2">
        <v>2018</v>
      </c>
      <c r="C401" s="1" t="s">
        <v>13</v>
      </c>
      <c r="D401" s="1" t="s">
        <v>414</v>
      </c>
      <c r="E401" s="1" t="s">
        <v>43</v>
      </c>
      <c r="F401" s="1" t="s">
        <v>294</v>
      </c>
      <c r="G401" s="2">
        <v>2012</v>
      </c>
      <c r="H401" s="1" t="s">
        <v>22</v>
      </c>
      <c r="I401" s="1" t="s">
        <v>101</v>
      </c>
      <c r="J401" s="1" t="s">
        <v>11</v>
      </c>
      <c r="K401" s="3" t="s">
        <v>295</v>
      </c>
      <c r="L401" s="1" t="s">
        <v>10</v>
      </c>
      <c r="M401" s="1" t="s">
        <v>10</v>
      </c>
      <c r="N401" s="5" t="s">
        <v>10</v>
      </c>
      <c r="O401" s="4">
        <v>31507732</v>
      </c>
      <c r="P401" s="4">
        <v>3841422</v>
      </c>
      <c r="Q401" s="5">
        <v>12.2</v>
      </c>
      <c r="R401" s="2">
        <v>110</v>
      </c>
      <c r="HZ401" s="34"/>
    </row>
    <row r="402" spans="1:234" ht="15" customHeight="1">
      <c r="A402" s="66" t="s">
        <v>293</v>
      </c>
      <c r="B402" s="2">
        <v>2018</v>
      </c>
      <c r="C402" s="1" t="s">
        <v>13</v>
      </c>
      <c r="D402" s="1" t="s">
        <v>414</v>
      </c>
      <c r="E402" s="1" t="s">
        <v>43</v>
      </c>
      <c r="F402" s="1" t="s">
        <v>294</v>
      </c>
      <c r="G402" s="2">
        <v>2012</v>
      </c>
      <c r="H402" s="1" t="s">
        <v>22</v>
      </c>
      <c r="I402" s="1" t="s">
        <v>101</v>
      </c>
      <c r="J402" s="1" t="s">
        <v>11</v>
      </c>
      <c r="K402" s="3" t="s">
        <v>24</v>
      </c>
      <c r="L402" s="1" t="s">
        <v>10</v>
      </c>
      <c r="M402" s="1" t="s">
        <v>10</v>
      </c>
      <c r="N402" s="5" t="s">
        <v>10</v>
      </c>
      <c r="O402" s="4"/>
      <c r="P402" s="4"/>
      <c r="Q402" s="5">
        <v>2.8</v>
      </c>
      <c r="R402" s="2">
        <v>110</v>
      </c>
      <c r="HZ402" s="34"/>
    </row>
    <row r="403" spans="1:234" ht="15" customHeight="1">
      <c r="A403" s="66" t="s">
        <v>293</v>
      </c>
      <c r="B403" s="2">
        <v>2018</v>
      </c>
      <c r="C403" s="1" t="s">
        <v>13</v>
      </c>
      <c r="D403" s="1" t="s">
        <v>414</v>
      </c>
      <c r="E403" s="1" t="s">
        <v>43</v>
      </c>
      <c r="F403" s="1" t="s">
        <v>294</v>
      </c>
      <c r="G403" s="2">
        <v>2012</v>
      </c>
      <c r="H403" s="1" t="s">
        <v>22</v>
      </c>
      <c r="I403" s="1" t="s">
        <v>101</v>
      </c>
      <c r="J403" s="1" t="s">
        <v>11</v>
      </c>
      <c r="K403" s="3" t="s">
        <v>25</v>
      </c>
      <c r="L403" s="1" t="s">
        <v>10</v>
      </c>
      <c r="M403" s="1" t="s">
        <v>10</v>
      </c>
      <c r="N403" s="5" t="s">
        <v>10</v>
      </c>
      <c r="O403" s="4"/>
      <c r="P403" s="4"/>
      <c r="Q403" s="5">
        <v>4.2</v>
      </c>
      <c r="R403" s="2">
        <v>110</v>
      </c>
      <c r="HZ403" s="34"/>
    </row>
    <row r="404" spans="1:234" ht="15" customHeight="1">
      <c r="A404" s="66" t="s">
        <v>293</v>
      </c>
      <c r="B404" s="2">
        <v>2018</v>
      </c>
      <c r="C404" s="1" t="s">
        <v>13</v>
      </c>
      <c r="D404" s="1" t="s">
        <v>414</v>
      </c>
      <c r="E404" s="1" t="s">
        <v>43</v>
      </c>
      <c r="F404" s="1" t="s">
        <v>294</v>
      </c>
      <c r="G404" s="2">
        <v>2012</v>
      </c>
      <c r="H404" s="1" t="s">
        <v>22</v>
      </c>
      <c r="I404" s="1" t="s">
        <v>101</v>
      </c>
      <c r="J404" s="1" t="s">
        <v>11</v>
      </c>
      <c r="K404" s="3" t="s">
        <v>26</v>
      </c>
      <c r="L404" s="1" t="s">
        <v>10</v>
      </c>
      <c r="M404" s="1" t="s">
        <v>10</v>
      </c>
      <c r="N404" s="5" t="s">
        <v>10</v>
      </c>
      <c r="O404" s="4"/>
      <c r="P404" s="4"/>
      <c r="Q404" s="5">
        <v>9.9</v>
      </c>
      <c r="R404" s="2">
        <v>110</v>
      </c>
      <c r="HZ404" s="34"/>
    </row>
    <row r="405" spans="1:234" ht="15" customHeight="1">
      <c r="A405" s="66" t="s">
        <v>293</v>
      </c>
      <c r="B405" s="2">
        <v>2018</v>
      </c>
      <c r="C405" s="1" t="s">
        <v>13</v>
      </c>
      <c r="D405" s="1" t="s">
        <v>414</v>
      </c>
      <c r="E405" s="1" t="s">
        <v>43</v>
      </c>
      <c r="F405" s="1" t="s">
        <v>294</v>
      </c>
      <c r="G405" s="2">
        <v>2012</v>
      </c>
      <c r="H405" s="1" t="s">
        <v>22</v>
      </c>
      <c r="I405" s="1" t="s">
        <v>101</v>
      </c>
      <c r="J405" s="1" t="s">
        <v>11</v>
      </c>
      <c r="K405" s="3" t="s">
        <v>27</v>
      </c>
      <c r="L405" s="1" t="s">
        <v>10</v>
      </c>
      <c r="M405" s="1" t="s">
        <v>10</v>
      </c>
      <c r="N405" s="5" t="s">
        <v>10</v>
      </c>
      <c r="O405" s="4"/>
      <c r="P405" s="4"/>
      <c r="Q405" s="5">
        <v>14.2</v>
      </c>
      <c r="R405" s="2">
        <v>110</v>
      </c>
      <c r="HZ405" s="34"/>
    </row>
    <row r="406" spans="1:234" ht="15" customHeight="1">
      <c r="A406" s="66" t="s">
        <v>293</v>
      </c>
      <c r="B406" s="2">
        <v>2018</v>
      </c>
      <c r="C406" s="1" t="s">
        <v>13</v>
      </c>
      <c r="D406" s="1" t="s">
        <v>414</v>
      </c>
      <c r="E406" s="1" t="s">
        <v>43</v>
      </c>
      <c r="F406" s="1" t="s">
        <v>294</v>
      </c>
      <c r="G406" s="2">
        <v>2012</v>
      </c>
      <c r="H406" s="1" t="s">
        <v>22</v>
      </c>
      <c r="I406" s="1" t="s">
        <v>101</v>
      </c>
      <c r="J406" s="1" t="s">
        <v>11</v>
      </c>
      <c r="K406" s="3" t="s">
        <v>28</v>
      </c>
      <c r="L406" s="1" t="s">
        <v>10</v>
      </c>
      <c r="M406" s="1" t="s">
        <v>10</v>
      </c>
      <c r="N406" s="5" t="s">
        <v>10</v>
      </c>
      <c r="O406" s="4"/>
      <c r="P406" s="4"/>
      <c r="Q406" s="5">
        <v>16.7</v>
      </c>
      <c r="R406" s="2">
        <v>110</v>
      </c>
      <c r="HZ406" s="34"/>
    </row>
    <row r="407" spans="1:234" ht="15" customHeight="1">
      <c r="A407" s="66" t="s">
        <v>293</v>
      </c>
      <c r="B407" s="2">
        <v>2018</v>
      </c>
      <c r="C407" s="1" t="s">
        <v>13</v>
      </c>
      <c r="D407" s="1" t="s">
        <v>414</v>
      </c>
      <c r="E407" s="1" t="s">
        <v>43</v>
      </c>
      <c r="F407" s="1" t="s">
        <v>294</v>
      </c>
      <c r="G407" s="2">
        <v>2012</v>
      </c>
      <c r="H407" s="1" t="s">
        <v>22</v>
      </c>
      <c r="I407" s="1" t="s">
        <v>101</v>
      </c>
      <c r="J407" s="1" t="s">
        <v>11</v>
      </c>
      <c r="K407" s="3" t="s">
        <v>72</v>
      </c>
      <c r="L407" s="1" t="s">
        <v>10</v>
      </c>
      <c r="M407" s="1" t="s">
        <v>10</v>
      </c>
      <c r="N407" s="5" t="s">
        <v>10</v>
      </c>
      <c r="O407" s="4"/>
      <c r="P407" s="4"/>
      <c r="Q407" s="5">
        <v>18.7</v>
      </c>
      <c r="R407" s="2">
        <v>110</v>
      </c>
      <c r="HZ407" s="34"/>
    </row>
    <row r="408" spans="1:234" ht="15" customHeight="1">
      <c r="A408" s="66" t="s">
        <v>293</v>
      </c>
      <c r="B408" s="2">
        <v>2018</v>
      </c>
      <c r="C408" s="1" t="s">
        <v>13</v>
      </c>
      <c r="D408" s="1" t="s">
        <v>414</v>
      </c>
      <c r="E408" s="1" t="s">
        <v>43</v>
      </c>
      <c r="F408" s="1" t="s">
        <v>294</v>
      </c>
      <c r="G408" s="2">
        <v>2012</v>
      </c>
      <c r="H408" s="1" t="s">
        <v>22</v>
      </c>
      <c r="I408" s="1" t="s">
        <v>101</v>
      </c>
      <c r="J408" s="1" t="s">
        <v>11</v>
      </c>
      <c r="K408" s="3" t="s">
        <v>73</v>
      </c>
      <c r="L408" s="1" t="s">
        <v>10</v>
      </c>
      <c r="M408" s="1" t="s">
        <v>10</v>
      </c>
      <c r="N408" s="5" t="s">
        <v>10</v>
      </c>
      <c r="O408" s="4"/>
      <c r="P408" s="4"/>
      <c r="Q408" s="5">
        <v>28.3</v>
      </c>
      <c r="R408" s="2">
        <v>110</v>
      </c>
      <c r="HZ408" s="34"/>
    </row>
    <row r="409" spans="1:234" ht="15" customHeight="1">
      <c r="A409" s="66" t="s">
        <v>369</v>
      </c>
      <c r="B409" s="2">
        <v>2014</v>
      </c>
      <c r="C409" s="1" t="s">
        <v>13</v>
      </c>
      <c r="D409" s="1" t="s">
        <v>610</v>
      </c>
      <c r="E409" s="1" t="s">
        <v>67</v>
      </c>
      <c r="F409" s="1" t="s">
        <v>123</v>
      </c>
      <c r="G409" s="1" t="s">
        <v>370</v>
      </c>
      <c r="H409" s="1" t="s">
        <v>125</v>
      </c>
      <c r="I409" s="1" t="s">
        <v>84</v>
      </c>
      <c r="J409" s="1" t="s">
        <v>11</v>
      </c>
      <c r="K409" s="3" t="s">
        <v>371</v>
      </c>
      <c r="L409" s="1" t="s">
        <v>372</v>
      </c>
      <c r="M409" s="4">
        <f>Table1[[#This Row],[% HSV-1 infection]]*Table1[[#This Row],[N tested for HSV-1 Ab]]/100</f>
        <v>14801.22</v>
      </c>
      <c r="N409" s="5">
        <v>51</v>
      </c>
      <c r="O409" s="4">
        <v>29022</v>
      </c>
      <c r="P409" s="4">
        <f>Table1[[#This Row],[% HSV-2 infection]]*Table1[[#This Row],[N tested for HSV-2 Ab]]/100</f>
        <v>3192.42</v>
      </c>
      <c r="Q409" s="5">
        <v>11</v>
      </c>
      <c r="R409" s="2">
        <v>111</v>
      </c>
      <c r="HZ409" s="34"/>
    </row>
    <row r="410" spans="1:234" ht="15" customHeight="1">
      <c r="A410" s="66" t="s">
        <v>369</v>
      </c>
      <c r="B410" s="2">
        <v>2014</v>
      </c>
      <c r="C410" s="1" t="s">
        <v>13</v>
      </c>
      <c r="D410" s="1" t="s">
        <v>610</v>
      </c>
      <c r="E410" s="1" t="s">
        <v>67</v>
      </c>
      <c r="F410" s="1" t="s">
        <v>123</v>
      </c>
      <c r="G410" s="1" t="s">
        <v>370</v>
      </c>
      <c r="H410" s="1" t="s">
        <v>125</v>
      </c>
      <c r="I410" s="1" t="s">
        <v>84</v>
      </c>
      <c r="J410" s="1" t="s">
        <v>11</v>
      </c>
      <c r="K410" s="3" t="s">
        <v>371</v>
      </c>
      <c r="L410" s="1" t="s">
        <v>372</v>
      </c>
      <c r="M410" s="4">
        <f>Table1[[#This Row],[% HSV-1 infection]]*Table1[[#This Row],[N tested for HSV-1 Ab]]/100</f>
        <v>14801.22</v>
      </c>
      <c r="N410" s="5">
        <v>51</v>
      </c>
      <c r="O410" s="4">
        <v>29022</v>
      </c>
      <c r="P410" s="4">
        <f>Table1[[#This Row],[% HSV-2 infection]]*Table1[[#This Row],[N tested for HSV-2 Ab]]/100</f>
        <v>3192.42</v>
      </c>
      <c r="Q410" s="5">
        <v>11</v>
      </c>
      <c r="R410" s="2">
        <v>111</v>
      </c>
      <c r="HZ410" s="34"/>
    </row>
    <row r="411" spans="1:234" ht="15" customHeight="1">
      <c r="A411" s="66" t="s">
        <v>369</v>
      </c>
      <c r="B411" s="2">
        <v>2014</v>
      </c>
      <c r="C411" s="1" t="s">
        <v>13</v>
      </c>
      <c r="D411" s="1" t="s">
        <v>610</v>
      </c>
      <c r="E411" s="1" t="s">
        <v>67</v>
      </c>
      <c r="F411" s="1" t="s">
        <v>123</v>
      </c>
      <c r="G411" s="1" t="s">
        <v>370</v>
      </c>
      <c r="H411" s="1" t="s">
        <v>125</v>
      </c>
      <c r="I411" s="1" t="s">
        <v>84</v>
      </c>
      <c r="J411" s="1" t="s">
        <v>11</v>
      </c>
      <c r="K411" s="3" t="s">
        <v>373</v>
      </c>
      <c r="L411" s="1" t="s">
        <v>374</v>
      </c>
      <c r="M411" s="4">
        <f>Table1[[#This Row],[N tested for HSV-1 Ab]]*(44.9+1.8)/100</f>
        <v>1536.43</v>
      </c>
      <c r="N411" s="5">
        <f>Table1[[#This Row],[N HSV-1 Ab+]]*100/Table1[[#This Row],[N tested for HSV-1 Ab]]</f>
        <v>46.7</v>
      </c>
      <c r="O411" s="1" t="s">
        <v>374</v>
      </c>
      <c r="P411" s="4">
        <f>Table1[[#This Row],[N tested for HSV-2 Ab]]*(1.7+1.8)/100</f>
        <v>115.15</v>
      </c>
      <c r="Q411" s="5">
        <f>Table1[[#This Row],[N HSV-2 Ab+]]*100/Table1[[#This Row],[N tested for HSV-2 Ab]]</f>
        <v>3.5</v>
      </c>
      <c r="R411" s="2">
        <v>111</v>
      </c>
      <c r="HZ411" s="34"/>
    </row>
    <row r="412" spans="1:234" ht="15" customHeight="1">
      <c r="A412" s="66" t="s">
        <v>369</v>
      </c>
      <c r="B412" s="2">
        <v>2014</v>
      </c>
      <c r="C412" s="1" t="s">
        <v>13</v>
      </c>
      <c r="D412" s="1" t="s">
        <v>610</v>
      </c>
      <c r="E412" s="1" t="s">
        <v>67</v>
      </c>
      <c r="F412" s="1" t="s">
        <v>123</v>
      </c>
      <c r="G412" s="1" t="s">
        <v>370</v>
      </c>
      <c r="H412" s="1" t="s">
        <v>125</v>
      </c>
      <c r="I412" s="1" t="s">
        <v>84</v>
      </c>
      <c r="J412" s="1" t="s">
        <v>11</v>
      </c>
      <c r="K412" s="25" t="s">
        <v>430</v>
      </c>
      <c r="L412" s="1" t="s">
        <v>375</v>
      </c>
      <c r="M412" s="4">
        <f>Table1[[#This Row],[N tested for HSV-1 Ab]]*(43.6+2.8)/100</f>
        <v>1681.5360000000001</v>
      </c>
      <c r="N412" s="5">
        <f>Table1[[#This Row],[N HSV-1 Ab+]]*100/Table1[[#This Row],[N tested for HSV-1 Ab]]</f>
        <v>46.4</v>
      </c>
      <c r="O412" s="1" t="s">
        <v>375</v>
      </c>
      <c r="P412" s="4">
        <f>Table1[[#This Row],[N tested for HSV-2 Ab]]*(2.2+2.8)/100</f>
        <v>181.2</v>
      </c>
      <c r="Q412" s="5">
        <f>Table1[[#This Row],[N HSV-2 Ab+]]*100/Table1[[#This Row],[N tested for HSV-2 Ab]]</f>
        <v>5</v>
      </c>
      <c r="R412" s="2">
        <v>111</v>
      </c>
      <c r="HZ412" s="34"/>
    </row>
    <row r="413" spans="1:234" ht="15" customHeight="1">
      <c r="A413" s="66" t="s">
        <v>369</v>
      </c>
      <c r="B413" s="2">
        <v>2014</v>
      </c>
      <c r="C413" s="1" t="s">
        <v>13</v>
      </c>
      <c r="D413" s="1" t="s">
        <v>610</v>
      </c>
      <c r="E413" s="1" t="s">
        <v>67</v>
      </c>
      <c r="F413" s="1" t="s">
        <v>123</v>
      </c>
      <c r="G413" s="1" t="s">
        <v>370</v>
      </c>
      <c r="H413" s="1" t="s">
        <v>125</v>
      </c>
      <c r="I413" s="1" t="s">
        <v>84</v>
      </c>
      <c r="J413" s="1" t="s">
        <v>11</v>
      </c>
      <c r="K413" s="25" t="s">
        <v>421</v>
      </c>
      <c r="L413" s="1" t="s">
        <v>376</v>
      </c>
      <c r="M413" s="4">
        <f>Table1[[#This Row],[N tested for HSV-1 Ab]]*(44.4+4)/100</f>
        <v>1567.1919999999998</v>
      </c>
      <c r="N413" s="5">
        <f>Table1[[#This Row],[N HSV-1 Ab+]]*100/Table1[[#This Row],[N tested for HSV-1 Ab]]</f>
        <v>48.399999999999991</v>
      </c>
      <c r="O413" s="1" t="s">
        <v>376</v>
      </c>
      <c r="P413" s="4">
        <f>Table1[[#This Row],[N tested for HSV-2 Ab]]*(3.2+4)/100</f>
        <v>233.13600000000002</v>
      </c>
      <c r="Q413" s="5">
        <f>Table1[[#This Row],[N HSV-2 Ab+]]*100/Table1[[#This Row],[N tested for HSV-2 Ab]]</f>
        <v>7.2000000000000011</v>
      </c>
      <c r="R413" s="2">
        <v>111</v>
      </c>
      <c r="HZ413" s="34"/>
    </row>
    <row r="414" spans="1:234" ht="15" customHeight="1">
      <c r="A414" s="66" t="s">
        <v>369</v>
      </c>
      <c r="B414" s="2">
        <v>2014</v>
      </c>
      <c r="C414" s="1" t="s">
        <v>13</v>
      </c>
      <c r="D414" s="1" t="s">
        <v>610</v>
      </c>
      <c r="E414" s="1" t="s">
        <v>67</v>
      </c>
      <c r="F414" s="1" t="s">
        <v>123</v>
      </c>
      <c r="G414" s="1" t="s">
        <v>370</v>
      </c>
      <c r="H414" s="1" t="s">
        <v>125</v>
      </c>
      <c r="I414" s="1" t="s">
        <v>84</v>
      </c>
      <c r="J414" s="1" t="s">
        <v>11</v>
      </c>
      <c r="K414" s="25" t="s">
        <v>425</v>
      </c>
      <c r="L414" s="1" t="s">
        <v>377</v>
      </c>
      <c r="M414" s="4">
        <f>Table1[[#This Row],[N tested for HSV-1 Ab]]*(46.4+4.8)/100</f>
        <v>1478.6559999999997</v>
      </c>
      <c r="N414" s="5">
        <f>Table1[[#This Row],[N HSV-1 Ab+]]*100/Table1[[#This Row],[N tested for HSV-1 Ab]]</f>
        <v>51.199999999999989</v>
      </c>
      <c r="O414" s="1" t="s">
        <v>377</v>
      </c>
      <c r="P414" s="4">
        <f>Table1[[#This Row],[N tested for HSV-2 Ab]]*(3.9+4.8)/100</f>
        <v>251.25599999999997</v>
      </c>
      <c r="Q414" s="5">
        <f>Table1[[#This Row],[N HSV-2 Ab+]]*100/Table1[[#This Row],[N tested for HSV-2 Ab]]</f>
        <v>8.6999999999999993</v>
      </c>
      <c r="R414" s="2">
        <v>111</v>
      </c>
      <c r="HZ414" s="34"/>
    </row>
    <row r="415" spans="1:234" ht="15" customHeight="1">
      <c r="A415" s="66" t="s">
        <v>369</v>
      </c>
      <c r="B415" s="2">
        <v>2014</v>
      </c>
      <c r="C415" s="1" t="s">
        <v>13</v>
      </c>
      <c r="D415" s="1" t="s">
        <v>610</v>
      </c>
      <c r="E415" s="1" t="s">
        <v>67</v>
      </c>
      <c r="F415" s="1" t="s">
        <v>123</v>
      </c>
      <c r="G415" s="1" t="s">
        <v>370</v>
      </c>
      <c r="H415" s="1" t="s">
        <v>125</v>
      </c>
      <c r="I415" s="1" t="s">
        <v>84</v>
      </c>
      <c r="J415" s="1" t="s">
        <v>11</v>
      </c>
      <c r="K415" s="25" t="s">
        <v>422</v>
      </c>
      <c r="L415" s="1" t="s">
        <v>378</v>
      </c>
      <c r="M415" s="4">
        <f>Table1[[#This Row],[N tested for HSV-1 Ab]]*(46.8+5.6)/100</f>
        <v>1422.66</v>
      </c>
      <c r="N415" s="5">
        <f>Table1[[#This Row],[N HSV-1 Ab+]]*100/Table1[[#This Row],[N tested for HSV-1 Ab]]</f>
        <v>52.4</v>
      </c>
      <c r="O415" s="1" t="s">
        <v>378</v>
      </c>
      <c r="P415" s="4">
        <f>Table1[[#This Row],[N tested for HSV-2 Ab]]*(4.9+5.6)/100</f>
        <v>285.07499999999999</v>
      </c>
      <c r="Q415" s="5">
        <f>Table1[[#This Row],[N HSV-2 Ab+]]*100/Table1[[#This Row],[N tested for HSV-2 Ab]]</f>
        <v>10.5</v>
      </c>
      <c r="R415" s="2">
        <v>111</v>
      </c>
      <c r="HZ415" s="34"/>
    </row>
    <row r="416" spans="1:234" ht="15" customHeight="1">
      <c r="A416" s="66" t="s">
        <v>369</v>
      </c>
      <c r="B416" s="2">
        <v>2014</v>
      </c>
      <c r="C416" s="1" t="s">
        <v>13</v>
      </c>
      <c r="D416" s="1" t="s">
        <v>610</v>
      </c>
      <c r="E416" s="1" t="s">
        <v>67</v>
      </c>
      <c r="F416" s="1" t="s">
        <v>123</v>
      </c>
      <c r="G416" s="1" t="s">
        <v>370</v>
      </c>
      <c r="H416" s="1" t="s">
        <v>125</v>
      </c>
      <c r="I416" s="1" t="s">
        <v>84</v>
      </c>
      <c r="J416" s="1" t="s">
        <v>11</v>
      </c>
      <c r="K416" s="25" t="s">
        <v>423</v>
      </c>
      <c r="L416" s="1" t="s">
        <v>379</v>
      </c>
      <c r="M416" s="4">
        <f>Table1[[#This Row],[N tested for HSV-1 Ab]]*(46.2+7)/100</f>
        <v>1403.9480000000001</v>
      </c>
      <c r="N416" s="5">
        <f>Table1[[#This Row],[N HSV-1 Ab+]]*100/Table1[[#This Row],[N tested for HSV-1 Ab]]</f>
        <v>53.20000000000001</v>
      </c>
      <c r="O416" s="1" t="s">
        <v>379</v>
      </c>
      <c r="P416" s="4">
        <f>Table1[[#This Row],[N tested for HSV-2 Ab]]*(5.2+7)/100</f>
        <v>321.95799999999997</v>
      </c>
      <c r="Q416" s="5">
        <f>Table1[[#This Row],[N HSV-2 Ab+]]*100/Table1[[#This Row],[N tested for HSV-2 Ab]]</f>
        <v>12.199999999999998</v>
      </c>
      <c r="R416" s="2">
        <v>111</v>
      </c>
      <c r="HZ416" s="34"/>
    </row>
    <row r="417" spans="1:234" ht="15" customHeight="1">
      <c r="A417" s="66" t="s">
        <v>369</v>
      </c>
      <c r="B417" s="2">
        <v>2014</v>
      </c>
      <c r="C417" s="1" t="s">
        <v>13</v>
      </c>
      <c r="D417" s="1" t="s">
        <v>610</v>
      </c>
      <c r="E417" s="1" t="s">
        <v>67</v>
      </c>
      <c r="F417" s="1" t="s">
        <v>123</v>
      </c>
      <c r="G417" s="1" t="s">
        <v>370</v>
      </c>
      <c r="H417" s="1" t="s">
        <v>125</v>
      </c>
      <c r="I417" s="1" t="s">
        <v>84</v>
      </c>
      <c r="J417" s="1" t="s">
        <v>11</v>
      </c>
      <c r="K417" s="25" t="s">
        <v>424</v>
      </c>
      <c r="L417" s="1" t="s">
        <v>380</v>
      </c>
      <c r="M417" s="4">
        <f>Table1[[#This Row],[N tested for HSV-1 Ab]]*(44.6+7.6)/100</f>
        <v>1202.1660000000002</v>
      </c>
      <c r="N417" s="5">
        <f>Table1[[#This Row],[N HSV-1 Ab+]]*100/Table1[[#This Row],[N tested for HSV-1 Ab]]</f>
        <v>52.20000000000001</v>
      </c>
      <c r="O417" s="1" t="s">
        <v>380</v>
      </c>
      <c r="P417" s="4">
        <f>Table1[[#This Row],[N tested for HSV-2 Ab]]*(5.5+7.6)/100</f>
        <v>301.69299999999998</v>
      </c>
      <c r="Q417" s="5">
        <f>Table1[[#This Row],[N HSV-2 Ab+]]*100/Table1[[#This Row],[N tested for HSV-2 Ab]]</f>
        <v>13.1</v>
      </c>
      <c r="R417" s="2">
        <v>111</v>
      </c>
      <c r="HZ417" s="34"/>
    </row>
    <row r="418" spans="1:234" ht="15" customHeight="1">
      <c r="A418" s="66" t="s">
        <v>369</v>
      </c>
      <c r="B418" s="2">
        <v>2014</v>
      </c>
      <c r="C418" s="1" t="s">
        <v>13</v>
      </c>
      <c r="D418" s="1" t="s">
        <v>610</v>
      </c>
      <c r="E418" s="1" t="s">
        <v>67</v>
      </c>
      <c r="F418" s="1" t="s">
        <v>123</v>
      </c>
      <c r="G418" s="1" t="s">
        <v>370</v>
      </c>
      <c r="H418" s="1" t="s">
        <v>125</v>
      </c>
      <c r="I418" s="1" t="s">
        <v>84</v>
      </c>
      <c r="J418" s="1" t="s">
        <v>11</v>
      </c>
      <c r="K418" s="25" t="s">
        <v>426</v>
      </c>
      <c r="L418" s="1" t="s">
        <v>381</v>
      </c>
      <c r="M418" s="4">
        <f>Table1[[#This Row],[N tested for HSV-1 Ab]]*(47.9+7.3)/100</f>
        <v>1080.2639999999999</v>
      </c>
      <c r="N418" s="5">
        <f>Table1[[#This Row],[N HSV-1 Ab+]]*100/Table1[[#This Row],[N tested for HSV-1 Ab]]</f>
        <v>55.199999999999996</v>
      </c>
      <c r="O418" s="1" t="s">
        <v>381</v>
      </c>
      <c r="P418" s="4">
        <f>Table1[[#This Row],[N tested for HSV-2 Ab]]*(5.6+7.3)/100</f>
        <v>252.45299999999995</v>
      </c>
      <c r="Q418" s="5">
        <f>Table1[[#This Row],[N HSV-2 Ab+]]*100/Table1[[#This Row],[N tested for HSV-2 Ab]]</f>
        <v>12.899999999999999</v>
      </c>
      <c r="R418" s="2">
        <v>111</v>
      </c>
      <c r="HZ418" s="34"/>
    </row>
    <row r="419" spans="1:234" ht="15" customHeight="1">
      <c r="A419" s="66" t="s">
        <v>369</v>
      </c>
      <c r="B419" s="2">
        <v>2014</v>
      </c>
      <c r="C419" s="1" t="s">
        <v>13</v>
      </c>
      <c r="D419" s="1" t="s">
        <v>610</v>
      </c>
      <c r="E419" s="1" t="s">
        <v>67</v>
      </c>
      <c r="F419" s="1" t="s">
        <v>123</v>
      </c>
      <c r="G419" s="1" t="s">
        <v>370</v>
      </c>
      <c r="H419" s="1" t="s">
        <v>125</v>
      </c>
      <c r="I419" s="1" t="s">
        <v>84</v>
      </c>
      <c r="J419" s="1" t="s">
        <v>11</v>
      </c>
      <c r="K419" s="25" t="s">
        <v>427</v>
      </c>
      <c r="L419" s="1" t="s">
        <v>382</v>
      </c>
      <c r="M419" s="4">
        <f>Table1[[#This Row],[N tested for HSV-1 Ab]]*(45.2+9)/100</f>
        <v>895.38400000000013</v>
      </c>
      <c r="N419" s="5">
        <f>Table1[[#This Row],[N HSV-1 Ab+]]*100/Table1[[#This Row],[N tested for HSV-1 Ab]]</f>
        <v>54.2</v>
      </c>
      <c r="O419" s="1" t="s">
        <v>382</v>
      </c>
      <c r="P419" s="4">
        <f>Table1[[#This Row],[N tested for HSV-2 Ab]]*(6.7+9)/100</f>
        <v>259.36399999999998</v>
      </c>
      <c r="Q419" s="5">
        <f>Table1[[#This Row],[N HSV-2 Ab+]]*100/Table1[[#This Row],[N tested for HSV-2 Ab]]</f>
        <v>15.7</v>
      </c>
      <c r="R419" s="2">
        <v>111</v>
      </c>
      <c r="HZ419" s="34"/>
    </row>
    <row r="420" spans="1:234" ht="15" customHeight="1">
      <c r="A420" s="66" t="s">
        <v>369</v>
      </c>
      <c r="B420" s="2">
        <v>2014</v>
      </c>
      <c r="C420" s="1" t="s">
        <v>13</v>
      </c>
      <c r="D420" s="1" t="s">
        <v>610</v>
      </c>
      <c r="E420" s="1" t="s">
        <v>67</v>
      </c>
      <c r="F420" s="1" t="s">
        <v>123</v>
      </c>
      <c r="G420" s="1" t="s">
        <v>370</v>
      </c>
      <c r="H420" s="1" t="s">
        <v>125</v>
      </c>
      <c r="I420" s="1" t="s">
        <v>84</v>
      </c>
      <c r="J420" s="1" t="s">
        <v>11</v>
      </c>
      <c r="K420" s="25" t="s">
        <v>420</v>
      </c>
      <c r="L420" s="1" t="s">
        <v>383</v>
      </c>
      <c r="M420" s="4">
        <f>Table1[[#This Row],[N tested for HSV-1 Ab]]*(46+13.3)/100</f>
        <v>885.94200000000001</v>
      </c>
      <c r="N420" s="5">
        <f>Table1[[#This Row],[N HSV-1 Ab+]]*100/Table1[[#This Row],[N tested for HSV-1 Ab]]</f>
        <v>59.3</v>
      </c>
      <c r="O420" s="1" t="s">
        <v>383</v>
      </c>
      <c r="P420" s="4">
        <f>Table1[[#This Row],[N tested for HSV-2 Ab]]*(7.1+13.3)/100</f>
        <v>304.77600000000001</v>
      </c>
      <c r="Q420" s="5">
        <f>Table1[[#This Row],[N HSV-2 Ab+]]*100/Table1[[#This Row],[N tested for HSV-2 Ab]]</f>
        <v>20.400000000000002</v>
      </c>
      <c r="R420" s="2">
        <v>111</v>
      </c>
      <c r="HZ420" s="34"/>
    </row>
    <row r="421" spans="1:234" ht="15" customHeight="1">
      <c r="A421" s="66" t="s">
        <v>369</v>
      </c>
      <c r="B421" s="2">
        <v>2014</v>
      </c>
      <c r="C421" s="1" t="s">
        <v>13</v>
      </c>
      <c r="D421" s="1" t="s">
        <v>610</v>
      </c>
      <c r="E421" s="1" t="s">
        <v>67</v>
      </c>
      <c r="F421" s="1" t="s">
        <v>123</v>
      </c>
      <c r="G421" s="1" t="s">
        <v>370</v>
      </c>
      <c r="H421" s="1" t="s">
        <v>125</v>
      </c>
      <c r="I421" s="1" t="s">
        <v>84</v>
      </c>
      <c r="J421" s="1" t="s">
        <v>11</v>
      </c>
      <c r="K421" s="25" t="s">
        <v>428</v>
      </c>
      <c r="L421" s="1" t="s">
        <v>384</v>
      </c>
      <c r="M421" s="4">
        <f>Table1[[#This Row],[N tested for HSV-1 Ab]]*(44.8+13.8)/100</f>
        <v>750.08</v>
      </c>
      <c r="N421" s="5">
        <f>Table1[[#This Row],[N HSV-1 Ab+]]*100/Table1[[#This Row],[N tested for HSV-1 Ab]]</f>
        <v>58.6</v>
      </c>
      <c r="O421" s="1" t="s">
        <v>384</v>
      </c>
      <c r="P421" s="4">
        <f>Table1[[#This Row],[N tested for HSV-2 Ab]]*(8.8+13.8)/100</f>
        <v>289.27999999999997</v>
      </c>
      <c r="Q421" s="5">
        <f>Table1[[#This Row],[N HSV-2 Ab+]]*100/Table1[[#This Row],[N tested for HSV-2 Ab]]</f>
        <v>22.599999999999998</v>
      </c>
      <c r="R421" s="2">
        <v>111</v>
      </c>
      <c r="HZ421" s="34"/>
    </row>
    <row r="422" spans="1:234" ht="15" customHeight="1">
      <c r="A422" s="66" t="s">
        <v>369</v>
      </c>
      <c r="B422" s="2">
        <v>2014</v>
      </c>
      <c r="C422" s="1" t="s">
        <v>13</v>
      </c>
      <c r="D422" s="1" t="s">
        <v>610</v>
      </c>
      <c r="E422" s="1" t="s">
        <v>67</v>
      </c>
      <c r="F422" s="1" t="s">
        <v>123</v>
      </c>
      <c r="G422" s="1" t="s">
        <v>370</v>
      </c>
      <c r="H422" s="1" t="s">
        <v>125</v>
      </c>
      <c r="I422" s="1" t="s">
        <v>84</v>
      </c>
      <c r="J422" s="1" t="s">
        <v>11</v>
      </c>
      <c r="K422" s="25" t="s">
        <v>429</v>
      </c>
      <c r="L422" s="1" t="s">
        <v>385</v>
      </c>
      <c r="M422" s="4">
        <f>Table1[[#This Row],[N tested for HSV-1 Ab]]*(44.1+16)/100</f>
        <v>644.27200000000005</v>
      </c>
      <c r="N422" s="5">
        <f>Table1[[#This Row],[N HSV-1 Ab+]]*100/Table1[[#This Row],[N tested for HSV-1 Ab]]</f>
        <v>60.1</v>
      </c>
      <c r="O422" s="1" t="s">
        <v>385</v>
      </c>
      <c r="P422" s="4">
        <f>Table1[[#This Row],[N tested for HSV-2 Ab]]*(7.8+16)/100</f>
        <v>255.13600000000002</v>
      </c>
      <c r="Q422" s="5">
        <f>Table1[[#This Row],[N HSV-2 Ab+]]*100/Table1[[#This Row],[N tested for HSV-2 Ab]]</f>
        <v>23.8</v>
      </c>
      <c r="R422" s="2">
        <v>111</v>
      </c>
      <c r="HZ422" s="34"/>
    </row>
    <row r="423" spans="1:234" ht="15" customHeight="1">
      <c r="A423" s="66" t="s">
        <v>369</v>
      </c>
      <c r="B423" s="2">
        <v>2014</v>
      </c>
      <c r="C423" s="1" t="s">
        <v>13</v>
      </c>
      <c r="D423" s="1" t="s">
        <v>610</v>
      </c>
      <c r="E423" s="1" t="s">
        <v>67</v>
      </c>
      <c r="F423" s="1" t="s">
        <v>123</v>
      </c>
      <c r="G423" s="1" t="s">
        <v>370</v>
      </c>
      <c r="H423" s="1" t="s">
        <v>125</v>
      </c>
      <c r="I423" s="1" t="s">
        <v>84</v>
      </c>
      <c r="J423" s="1" t="s">
        <v>11</v>
      </c>
      <c r="K423" s="25" t="s">
        <v>462</v>
      </c>
      <c r="L423" s="1" t="s">
        <v>386</v>
      </c>
      <c r="M423" s="4">
        <f>Table1[[#This Row],[N tested for HSV-1 Ab]]*(40.3+20.7)/100</f>
        <v>523.99</v>
      </c>
      <c r="N423" s="5">
        <f>Table1[[#This Row],[N HSV-1 Ab+]]*100/Table1[[#This Row],[N tested for HSV-1 Ab]]</f>
        <v>61</v>
      </c>
      <c r="O423" s="1" t="s">
        <v>386</v>
      </c>
      <c r="P423" s="4">
        <f>Table1[[#This Row],[N tested for HSV-2 Ab]]*(10.4+20.7)/100</f>
        <v>267.149</v>
      </c>
      <c r="Q423" s="5">
        <f>Table1[[#This Row],[N HSV-2 Ab+]]*100/Table1[[#This Row],[N tested for HSV-2 Ab]]</f>
        <v>31.1</v>
      </c>
      <c r="R423" s="2">
        <v>111</v>
      </c>
      <c r="HZ423" s="34"/>
    </row>
    <row r="424" spans="1:234" ht="15" customHeight="1">
      <c r="A424" s="66" t="s">
        <v>296</v>
      </c>
      <c r="B424" s="2">
        <v>2017</v>
      </c>
      <c r="C424" s="1" t="s">
        <v>13</v>
      </c>
      <c r="D424" s="1" t="s">
        <v>122</v>
      </c>
      <c r="E424" s="1" t="s">
        <v>287</v>
      </c>
      <c r="F424" s="1" t="s">
        <v>9</v>
      </c>
      <c r="G424" s="1" t="s">
        <v>9</v>
      </c>
      <c r="H424" s="1" t="s">
        <v>616</v>
      </c>
      <c r="I424" s="1" t="s">
        <v>366</v>
      </c>
      <c r="J424" s="1" t="s">
        <v>11</v>
      </c>
      <c r="K424" s="3" t="s">
        <v>297</v>
      </c>
      <c r="L424" s="4">
        <v>51</v>
      </c>
      <c r="M424" s="4">
        <v>46</v>
      </c>
      <c r="N424" s="5">
        <v>90.2</v>
      </c>
      <c r="O424" s="4">
        <v>51</v>
      </c>
      <c r="P424" s="4">
        <v>31</v>
      </c>
      <c r="Q424" s="5">
        <v>60.8</v>
      </c>
      <c r="R424" s="2">
        <v>112</v>
      </c>
      <c r="HZ424" s="34"/>
    </row>
    <row r="425" spans="1:234" ht="15" customHeight="1">
      <c r="A425" s="66" t="s">
        <v>298</v>
      </c>
      <c r="B425" s="2">
        <v>2015</v>
      </c>
      <c r="C425" s="1" t="s">
        <v>604</v>
      </c>
      <c r="D425" s="16" t="s">
        <v>53</v>
      </c>
      <c r="E425" s="16" t="s">
        <v>299</v>
      </c>
      <c r="F425" s="1" t="s">
        <v>9</v>
      </c>
      <c r="G425" s="2">
        <v>2007</v>
      </c>
      <c r="H425" s="1" t="s">
        <v>22</v>
      </c>
      <c r="I425" s="1" t="s">
        <v>224</v>
      </c>
      <c r="J425" s="1" t="s">
        <v>16</v>
      </c>
      <c r="K425" s="3" t="s">
        <v>300</v>
      </c>
      <c r="L425" s="4">
        <v>1411</v>
      </c>
      <c r="M425" s="4">
        <f>N425*L425/100</f>
        <v>891.75199999999995</v>
      </c>
      <c r="N425" s="5">
        <v>63.2</v>
      </c>
      <c r="O425" s="1" t="s">
        <v>10</v>
      </c>
      <c r="P425" s="1" t="s">
        <v>10</v>
      </c>
      <c r="Q425" s="5" t="s">
        <v>10</v>
      </c>
      <c r="R425" s="2">
        <v>113</v>
      </c>
      <c r="HZ425" s="34"/>
    </row>
    <row r="426" spans="1:234" ht="15" customHeight="1">
      <c r="A426" s="66" t="s">
        <v>298</v>
      </c>
      <c r="B426" s="2">
        <v>2015</v>
      </c>
      <c r="C426" s="1" t="s">
        <v>604</v>
      </c>
      <c r="D426" s="16" t="s">
        <v>53</v>
      </c>
      <c r="E426" s="16" t="s">
        <v>299</v>
      </c>
      <c r="F426" s="1" t="s">
        <v>9</v>
      </c>
      <c r="G426" s="2">
        <v>2007</v>
      </c>
      <c r="H426" s="1" t="s">
        <v>22</v>
      </c>
      <c r="I426" s="1" t="s">
        <v>224</v>
      </c>
      <c r="J426" s="1" t="s">
        <v>16</v>
      </c>
      <c r="K426" s="3" t="s">
        <v>301</v>
      </c>
      <c r="L426" s="4"/>
      <c r="M426" s="4"/>
      <c r="N426" s="5">
        <v>11.1</v>
      </c>
      <c r="O426" s="1" t="s">
        <v>10</v>
      </c>
      <c r="P426" s="1" t="s">
        <v>10</v>
      </c>
      <c r="Q426" s="5" t="s">
        <v>10</v>
      </c>
      <c r="R426" s="2">
        <v>113</v>
      </c>
      <c r="HZ426" s="34"/>
    </row>
    <row r="427" spans="1:234" ht="15" customHeight="1">
      <c r="A427" s="66" t="s">
        <v>298</v>
      </c>
      <c r="B427" s="2">
        <v>2015</v>
      </c>
      <c r="C427" s="1" t="s">
        <v>604</v>
      </c>
      <c r="D427" s="16" t="s">
        <v>53</v>
      </c>
      <c r="E427" s="16" t="s">
        <v>299</v>
      </c>
      <c r="F427" s="1" t="s">
        <v>9</v>
      </c>
      <c r="G427" s="2">
        <v>2007</v>
      </c>
      <c r="H427" s="1" t="s">
        <v>22</v>
      </c>
      <c r="I427" s="1" t="s">
        <v>224</v>
      </c>
      <c r="J427" s="1" t="s">
        <v>16</v>
      </c>
      <c r="K427" s="3" t="s">
        <v>302</v>
      </c>
      <c r="L427" s="4"/>
      <c r="M427" s="4"/>
      <c r="N427" s="5">
        <v>47.9</v>
      </c>
      <c r="O427" s="1" t="s">
        <v>10</v>
      </c>
      <c r="P427" s="1" t="s">
        <v>10</v>
      </c>
      <c r="Q427" s="5" t="s">
        <v>10</v>
      </c>
      <c r="R427" s="2">
        <v>113</v>
      </c>
      <c r="HZ427" s="34"/>
    </row>
    <row r="428" spans="1:234" ht="15" customHeight="1">
      <c r="A428" s="66" t="s">
        <v>298</v>
      </c>
      <c r="B428" s="2">
        <v>2015</v>
      </c>
      <c r="C428" s="1" t="s">
        <v>604</v>
      </c>
      <c r="D428" s="16" t="s">
        <v>53</v>
      </c>
      <c r="E428" s="16" t="s">
        <v>299</v>
      </c>
      <c r="F428" s="1" t="s">
        <v>9</v>
      </c>
      <c r="G428" s="2">
        <v>2007</v>
      </c>
      <c r="H428" s="1" t="s">
        <v>22</v>
      </c>
      <c r="I428" s="1" t="s">
        <v>224</v>
      </c>
      <c r="J428" s="1" t="s">
        <v>16</v>
      </c>
      <c r="K428" s="3" t="s">
        <v>303</v>
      </c>
      <c r="L428" s="4"/>
      <c r="M428" s="4"/>
      <c r="N428" s="5">
        <v>53</v>
      </c>
      <c r="O428" s="1" t="s">
        <v>10</v>
      </c>
      <c r="P428" s="1" t="s">
        <v>10</v>
      </c>
      <c r="Q428" s="5" t="s">
        <v>10</v>
      </c>
      <c r="R428" s="2">
        <v>113</v>
      </c>
      <c r="HZ428" s="34"/>
    </row>
    <row r="429" spans="1:234" ht="15" customHeight="1">
      <c r="A429" s="66" t="s">
        <v>298</v>
      </c>
      <c r="B429" s="2">
        <v>2015</v>
      </c>
      <c r="C429" s="1" t="s">
        <v>604</v>
      </c>
      <c r="D429" s="16" t="s">
        <v>53</v>
      </c>
      <c r="E429" s="16" t="s">
        <v>299</v>
      </c>
      <c r="F429" s="1" t="s">
        <v>9</v>
      </c>
      <c r="G429" s="2">
        <v>2007</v>
      </c>
      <c r="H429" s="1" t="s">
        <v>22</v>
      </c>
      <c r="I429" s="1" t="s">
        <v>224</v>
      </c>
      <c r="J429" s="1" t="s">
        <v>16</v>
      </c>
      <c r="K429" s="3" t="s">
        <v>46</v>
      </c>
      <c r="L429" s="4"/>
      <c r="M429" s="4"/>
      <c r="N429" s="5">
        <v>90</v>
      </c>
      <c r="O429" s="1" t="s">
        <v>10</v>
      </c>
      <c r="P429" s="1" t="s">
        <v>10</v>
      </c>
      <c r="Q429" s="5" t="s">
        <v>10</v>
      </c>
      <c r="R429" s="2">
        <v>113</v>
      </c>
      <c r="HZ429" s="34"/>
    </row>
    <row r="430" spans="1:234" ht="15" customHeight="1">
      <c r="A430" s="66" t="s">
        <v>298</v>
      </c>
      <c r="B430" s="2">
        <v>2015</v>
      </c>
      <c r="C430" s="1" t="s">
        <v>604</v>
      </c>
      <c r="D430" s="16" t="s">
        <v>53</v>
      </c>
      <c r="E430" s="16" t="s">
        <v>299</v>
      </c>
      <c r="F430" s="1" t="s">
        <v>9</v>
      </c>
      <c r="G430" s="2">
        <v>2007</v>
      </c>
      <c r="H430" s="1" t="s">
        <v>22</v>
      </c>
      <c r="I430" s="1" t="s">
        <v>224</v>
      </c>
      <c r="J430" s="1" t="s">
        <v>23</v>
      </c>
      <c r="K430" s="3" t="s">
        <v>300</v>
      </c>
      <c r="L430" s="4">
        <v>581</v>
      </c>
      <c r="M430" s="4">
        <f>N430*L430/100</f>
        <v>302.12</v>
      </c>
      <c r="N430" s="5">
        <v>52</v>
      </c>
      <c r="O430" s="1" t="s">
        <v>10</v>
      </c>
      <c r="P430" s="1" t="s">
        <v>10</v>
      </c>
      <c r="Q430" s="5" t="s">
        <v>10</v>
      </c>
      <c r="R430" s="2">
        <v>113</v>
      </c>
      <c r="HZ430" s="34"/>
    </row>
    <row r="431" spans="1:234" ht="15" customHeight="1">
      <c r="A431" s="66" t="s">
        <v>298</v>
      </c>
      <c r="B431" s="2">
        <v>2015</v>
      </c>
      <c r="C431" s="1" t="s">
        <v>604</v>
      </c>
      <c r="D431" s="16" t="s">
        <v>53</v>
      </c>
      <c r="E431" s="16" t="s">
        <v>299</v>
      </c>
      <c r="F431" s="1" t="s">
        <v>9</v>
      </c>
      <c r="G431" s="2">
        <v>2007</v>
      </c>
      <c r="H431" s="1" t="s">
        <v>22</v>
      </c>
      <c r="I431" s="1" t="s">
        <v>224</v>
      </c>
      <c r="J431" s="1" t="s">
        <v>11</v>
      </c>
      <c r="K431" s="3" t="s">
        <v>300</v>
      </c>
      <c r="L431" s="4">
        <v>830</v>
      </c>
      <c r="M431" s="4">
        <f>N431*L431/100</f>
        <v>535.35</v>
      </c>
      <c r="N431" s="5">
        <v>64.5</v>
      </c>
      <c r="O431" s="1" t="s">
        <v>10</v>
      </c>
      <c r="P431" s="1" t="s">
        <v>10</v>
      </c>
      <c r="Q431" s="5" t="s">
        <v>10</v>
      </c>
      <c r="R431" s="2">
        <v>113</v>
      </c>
      <c r="HZ431" s="34"/>
    </row>
    <row r="432" spans="1:234" ht="15" customHeight="1">
      <c r="A432" s="66" t="s">
        <v>298</v>
      </c>
      <c r="B432" s="2">
        <v>2015</v>
      </c>
      <c r="C432" s="1" t="s">
        <v>604</v>
      </c>
      <c r="D432" s="16" t="s">
        <v>53</v>
      </c>
      <c r="E432" s="16" t="s">
        <v>299</v>
      </c>
      <c r="F432" s="1" t="s">
        <v>9</v>
      </c>
      <c r="G432" s="2">
        <v>2007</v>
      </c>
      <c r="H432" s="1" t="s">
        <v>22</v>
      </c>
      <c r="I432" s="1" t="s">
        <v>224</v>
      </c>
      <c r="J432" s="1" t="s">
        <v>16</v>
      </c>
      <c r="K432" s="3" t="s">
        <v>304</v>
      </c>
      <c r="L432" s="1" t="s">
        <v>10</v>
      </c>
      <c r="M432" s="1" t="s">
        <v>10</v>
      </c>
      <c r="N432" s="5" t="s">
        <v>10</v>
      </c>
      <c r="O432" s="4">
        <v>1072</v>
      </c>
      <c r="P432" s="4">
        <f>Q432*O432/100</f>
        <v>82.543999999999997</v>
      </c>
      <c r="Q432" s="35">
        <v>7.7</v>
      </c>
      <c r="R432" s="2">
        <v>113</v>
      </c>
      <c r="HZ432" s="34"/>
    </row>
    <row r="433" spans="1:234" ht="15" customHeight="1">
      <c r="A433" s="66" t="s">
        <v>298</v>
      </c>
      <c r="B433" s="2">
        <v>2015</v>
      </c>
      <c r="C433" s="1" t="s">
        <v>604</v>
      </c>
      <c r="D433" s="16" t="s">
        <v>53</v>
      </c>
      <c r="E433" s="16" t="s">
        <v>299</v>
      </c>
      <c r="F433" s="1" t="s">
        <v>9</v>
      </c>
      <c r="G433" s="2">
        <v>2007</v>
      </c>
      <c r="H433" s="1" t="s">
        <v>22</v>
      </c>
      <c r="I433" s="1" t="s">
        <v>224</v>
      </c>
      <c r="J433" s="1" t="s">
        <v>23</v>
      </c>
      <c r="K433" s="3" t="s">
        <v>300</v>
      </c>
      <c r="L433" s="1" t="s">
        <v>10</v>
      </c>
      <c r="M433" s="1" t="s">
        <v>10</v>
      </c>
      <c r="N433" s="5" t="s">
        <v>10</v>
      </c>
      <c r="O433" s="4">
        <f>1072-633</f>
        <v>439</v>
      </c>
      <c r="P433" s="4">
        <f>Q433*O433/100</f>
        <v>29.851999999999997</v>
      </c>
      <c r="Q433" s="35">
        <v>6.8</v>
      </c>
      <c r="R433" s="2">
        <v>113</v>
      </c>
      <c r="HZ433" s="34"/>
    </row>
    <row r="434" spans="1:234" ht="15" customHeight="1">
      <c r="A434" s="66" t="s">
        <v>298</v>
      </c>
      <c r="B434" s="2">
        <v>2015</v>
      </c>
      <c r="C434" s="1" t="s">
        <v>604</v>
      </c>
      <c r="D434" s="16" t="s">
        <v>53</v>
      </c>
      <c r="E434" s="16" t="s">
        <v>299</v>
      </c>
      <c r="F434" s="1" t="s">
        <v>9</v>
      </c>
      <c r="G434" s="2">
        <v>2007</v>
      </c>
      <c r="H434" s="1" t="s">
        <v>22</v>
      </c>
      <c r="I434" s="1" t="s">
        <v>224</v>
      </c>
      <c r="J434" s="1" t="s">
        <v>11</v>
      </c>
      <c r="K434" s="3" t="s">
        <v>300</v>
      </c>
      <c r="L434" s="1" t="s">
        <v>10</v>
      </c>
      <c r="M434" s="1" t="s">
        <v>10</v>
      </c>
      <c r="N434" s="5" t="s">
        <v>10</v>
      </c>
      <c r="O434" s="4">
        <v>633</v>
      </c>
      <c r="P434" s="4">
        <f>Q434*O434/100</f>
        <v>76.593000000000004</v>
      </c>
      <c r="Q434" s="5">
        <v>12.1</v>
      </c>
      <c r="R434" s="2">
        <v>113</v>
      </c>
      <c r="HZ434" s="34"/>
    </row>
    <row r="435" spans="1:234" ht="15" customHeight="1">
      <c r="A435" s="66" t="s">
        <v>305</v>
      </c>
      <c r="B435" s="2">
        <v>2014</v>
      </c>
      <c r="C435" s="1" t="s">
        <v>13</v>
      </c>
      <c r="D435" s="1" t="s">
        <v>610</v>
      </c>
      <c r="E435" s="1" t="s">
        <v>226</v>
      </c>
      <c r="F435" s="1" t="s">
        <v>306</v>
      </c>
      <c r="G435" s="1" t="s">
        <v>307</v>
      </c>
      <c r="H435" s="1" t="s">
        <v>22</v>
      </c>
      <c r="I435" s="1" t="s">
        <v>196</v>
      </c>
      <c r="J435" s="1" t="s">
        <v>16</v>
      </c>
      <c r="K435" s="3" t="s">
        <v>308</v>
      </c>
      <c r="L435" s="4">
        <v>263</v>
      </c>
      <c r="M435" s="4">
        <v>250</v>
      </c>
      <c r="N435" s="5">
        <v>95.1</v>
      </c>
      <c r="O435" s="1" t="s">
        <v>10</v>
      </c>
      <c r="P435" s="1" t="s">
        <v>10</v>
      </c>
      <c r="Q435" s="5" t="s">
        <v>10</v>
      </c>
      <c r="R435" s="2">
        <v>114</v>
      </c>
      <c r="HZ435" s="34"/>
    </row>
    <row r="436" spans="1:234" ht="15" customHeight="1">
      <c r="A436" s="66" t="s">
        <v>309</v>
      </c>
      <c r="B436" s="2">
        <v>2018</v>
      </c>
      <c r="C436" s="1" t="s">
        <v>13</v>
      </c>
      <c r="D436" s="1" t="s">
        <v>610</v>
      </c>
      <c r="E436" s="16" t="s">
        <v>612</v>
      </c>
      <c r="F436" s="1" t="s">
        <v>310</v>
      </c>
      <c r="G436" s="1" t="s">
        <v>311</v>
      </c>
      <c r="H436" s="1" t="s">
        <v>312</v>
      </c>
      <c r="I436" s="1" t="s">
        <v>313</v>
      </c>
      <c r="J436" s="1" t="s">
        <v>11</v>
      </c>
      <c r="K436" s="3" t="s">
        <v>314</v>
      </c>
      <c r="L436" s="1" t="s">
        <v>10</v>
      </c>
      <c r="M436" s="1" t="s">
        <v>10</v>
      </c>
      <c r="N436" s="5" t="s">
        <v>10</v>
      </c>
      <c r="O436" s="4">
        <v>78</v>
      </c>
      <c r="P436" s="4">
        <v>14</v>
      </c>
      <c r="Q436" s="5">
        <v>21</v>
      </c>
      <c r="R436" s="2">
        <v>115</v>
      </c>
      <c r="HZ436" s="34"/>
    </row>
    <row r="437" spans="1:234" ht="15" customHeight="1">
      <c r="A437" s="66" t="s">
        <v>309</v>
      </c>
      <c r="B437" s="2">
        <v>2018</v>
      </c>
      <c r="C437" s="1" t="s">
        <v>13</v>
      </c>
      <c r="D437" s="1" t="s">
        <v>610</v>
      </c>
      <c r="E437" s="16" t="s">
        <v>612</v>
      </c>
      <c r="F437" s="1" t="s">
        <v>310</v>
      </c>
      <c r="G437" s="1" t="s">
        <v>311</v>
      </c>
      <c r="H437" s="1" t="s">
        <v>312</v>
      </c>
      <c r="I437" s="1" t="s">
        <v>313</v>
      </c>
      <c r="J437" s="1" t="s">
        <v>11</v>
      </c>
      <c r="K437" s="3" t="s">
        <v>251</v>
      </c>
      <c r="L437" s="1" t="s">
        <v>10</v>
      </c>
      <c r="M437" s="1" t="s">
        <v>10</v>
      </c>
      <c r="N437" s="5" t="s">
        <v>10</v>
      </c>
      <c r="O437" s="4">
        <v>17</v>
      </c>
      <c r="P437" s="4">
        <v>3</v>
      </c>
      <c r="Q437" s="5">
        <f>P437*100/O437</f>
        <v>17.647058823529413</v>
      </c>
      <c r="R437" s="2">
        <v>115</v>
      </c>
      <c r="HZ437" s="34"/>
    </row>
    <row r="438" spans="1:234" ht="15" customHeight="1">
      <c r="A438" s="66" t="s">
        <v>309</v>
      </c>
      <c r="B438" s="2">
        <v>2018</v>
      </c>
      <c r="C438" s="1" t="s">
        <v>13</v>
      </c>
      <c r="D438" s="1" t="s">
        <v>610</v>
      </c>
      <c r="E438" s="16" t="s">
        <v>612</v>
      </c>
      <c r="F438" s="1" t="s">
        <v>310</v>
      </c>
      <c r="G438" s="1" t="s">
        <v>311</v>
      </c>
      <c r="H438" s="1" t="s">
        <v>312</v>
      </c>
      <c r="I438" s="1" t="s">
        <v>313</v>
      </c>
      <c r="J438" s="1" t="s">
        <v>11</v>
      </c>
      <c r="K438" s="3" t="s">
        <v>252</v>
      </c>
      <c r="L438" s="1" t="s">
        <v>10</v>
      </c>
      <c r="M438" s="1" t="s">
        <v>10</v>
      </c>
      <c r="N438" s="5" t="s">
        <v>10</v>
      </c>
      <c r="O438" s="4">
        <v>42</v>
      </c>
      <c r="P438" s="4">
        <v>1</v>
      </c>
      <c r="Q438" s="5">
        <f>P438*100/O438</f>
        <v>2.3809523809523809</v>
      </c>
      <c r="R438" s="2">
        <v>115</v>
      </c>
      <c r="HZ438" s="34"/>
    </row>
    <row r="439" spans="1:234" ht="15" customHeight="1">
      <c r="A439" s="66" t="s">
        <v>309</v>
      </c>
      <c r="B439" s="2">
        <v>2018</v>
      </c>
      <c r="C439" s="1" t="s">
        <v>13</v>
      </c>
      <c r="D439" s="1" t="s">
        <v>610</v>
      </c>
      <c r="E439" s="16" t="s">
        <v>612</v>
      </c>
      <c r="F439" s="1" t="s">
        <v>310</v>
      </c>
      <c r="G439" s="1" t="s">
        <v>311</v>
      </c>
      <c r="H439" s="1" t="s">
        <v>312</v>
      </c>
      <c r="I439" s="1" t="s">
        <v>313</v>
      </c>
      <c r="J439" s="1" t="s">
        <v>11</v>
      </c>
      <c r="K439" s="3" t="s">
        <v>315</v>
      </c>
      <c r="L439" s="1" t="s">
        <v>10</v>
      </c>
      <c r="M439" s="1" t="s">
        <v>10</v>
      </c>
      <c r="N439" s="5" t="s">
        <v>10</v>
      </c>
      <c r="O439" s="4">
        <v>19</v>
      </c>
      <c r="P439" s="4">
        <v>10</v>
      </c>
      <c r="Q439" s="5">
        <f>P439*100/O439</f>
        <v>52.631578947368418</v>
      </c>
      <c r="R439" s="2">
        <v>115</v>
      </c>
      <c r="HZ439" s="34"/>
    </row>
    <row r="440" spans="1:234" ht="15" customHeight="1">
      <c r="A440" s="66" t="s">
        <v>317</v>
      </c>
      <c r="B440" s="2">
        <v>2016</v>
      </c>
      <c r="C440" s="1" t="s">
        <v>13</v>
      </c>
      <c r="D440" s="1" t="s">
        <v>610</v>
      </c>
      <c r="E440" s="1" t="s">
        <v>277</v>
      </c>
      <c r="F440" s="1" t="s">
        <v>318</v>
      </c>
      <c r="G440" s="1" t="s">
        <v>319</v>
      </c>
      <c r="H440" s="1" t="s">
        <v>22</v>
      </c>
      <c r="I440" s="1" t="s">
        <v>320</v>
      </c>
      <c r="J440" s="1" t="s">
        <v>11</v>
      </c>
      <c r="K440" s="3" t="s">
        <v>321</v>
      </c>
      <c r="L440" s="4">
        <v>633</v>
      </c>
      <c r="M440" s="4">
        <f>N440*L440/100</f>
        <v>498.17099999999999</v>
      </c>
      <c r="N440" s="5">
        <v>78.7</v>
      </c>
      <c r="O440" s="4">
        <v>633</v>
      </c>
      <c r="P440" s="4">
        <f>Q440*O440/100</f>
        <v>517.16099999999994</v>
      </c>
      <c r="Q440" s="5">
        <v>81.7</v>
      </c>
      <c r="R440" s="2">
        <v>116</v>
      </c>
      <c r="HZ440" s="34"/>
    </row>
    <row r="441" spans="1:234" ht="15" customHeight="1">
      <c r="A441" s="66" t="s">
        <v>322</v>
      </c>
      <c r="B441" s="2">
        <v>2016</v>
      </c>
      <c r="C441" s="1" t="s">
        <v>8</v>
      </c>
      <c r="D441" s="1" t="s">
        <v>408</v>
      </c>
      <c r="E441" s="1" t="s">
        <v>43</v>
      </c>
      <c r="F441" s="1" t="s">
        <v>282</v>
      </c>
      <c r="G441" s="1" t="s">
        <v>323</v>
      </c>
      <c r="H441" s="1" t="s">
        <v>324</v>
      </c>
      <c r="I441" s="1" t="s">
        <v>366</v>
      </c>
      <c r="J441" s="1" t="s">
        <v>11</v>
      </c>
      <c r="K441" s="25" t="s">
        <v>623</v>
      </c>
      <c r="L441" s="4">
        <f t="shared" ref="L441:O442" si="30">271+753</f>
        <v>1024</v>
      </c>
      <c r="M441" s="4">
        <f>124+336</f>
        <v>460</v>
      </c>
      <c r="N441" s="5">
        <f>M441*100/L441</f>
        <v>44.921875</v>
      </c>
      <c r="O441" s="1" t="s">
        <v>10</v>
      </c>
      <c r="P441" s="1" t="s">
        <v>10</v>
      </c>
      <c r="Q441" s="5" t="s">
        <v>10</v>
      </c>
      <c r="R441" s="2">
        <v>117</v>
      </c>
      <c r="HZ441" s="34"/>
    </row>
    <row r="442" spans="1:234" ht="15" customHeight="1">
      <c r="A442" s="69" t="s">
        <v>322</v>
      </c>
      <c r="B442" s="2">
        <v>2016</v>
      </c>
      <c r="C442" s="1" t="s">
        <v>8</v>
      </c>
      <c r="D442" s="1" t="s">
        <v>408</v>
      </c>
      <c r="E442" s="1" t="s">
        <v>43</v>
      </c>
      <c r="F442" s="1" t="s">
        <v>282</v>
      </c>
      <c r="G442" s="1" t="s">
        <v>323</v>
      </c>
      <c r="H442" s="1" t="s">
        <v>324</v>
      </c>
      <c r="I442" s="1" t="s">
        <v>366</v>
      </c>
      <c r="J442" s="1" t="s">
        <v>11</v>
      </c>
      <c r="K442" s="25" t="s">
        <v>623</v>
      </c>
      <c r="L442" s="1" t="s">
        <v>10</v>
      </c>
      <c r="M442" s="1" t="s">
        <v>10</v>
      </c>
      <c r="N442" s="5" t="s">
        <v>10</v>
      </c>
      <c r="O442" s="4">
        <f t="shared" si="30"/>
        <v>1024</v>
      </c>
      <c r="P442" s="4">
        <f>36+46</f>
        <v>82</v>
      </c>
      <c r="Q442" s="5">
        <f>P442*100/O442</f>
        <v>8.0078125</v>
      </c>
      <c r="R442" s="2">
        <v>117</v>
      </c>
      <c r="HZ442" s="34"/>
    </row>
    <row r="443" spans="1:234" ht="15" customHeight="1">
      <c r="A443" s="66" t="s">
        <v>325</v>
      </c>
      <c r="B443" s="2">
        <v>2016</v>
      </c>
      <c r="C443" s="1" t="s">
        <v>8</v>
      </c>
      <c r="D443" s="1" t="s">
        <v>611</v>
      </c>
      <c r="E443" s="1" t="s">
        <v>43</v>
      </c>
      <c r="F443" s="1" t="s">
        <v>326</v>
      </c>
      <c r="G443" s="1" t="s">
        <v>327</v>
      </c>
      <c r="H443" s="1" t="s">
        <v>22</v>
      </c>
      <c r="I443" s="1" t="s">
        <v>366</v>
      </c>
      <c r="J443" s="1" t="s">
        <v>16</v>
      </c>
      <c r="K443" s="25" t="s">
        <v>624</v>
      </c>
      <c r="L443" s="4">
        <v>4180</v>
      </c>
      <c r="M443" s="4">
        <f>N443*L443/100</f>
        <v>1993.86</v>
      </c>
      <c r="N443" s="5">
        <v>47.7</v>
      </c>
      <c r="O443" s="4">
        <v>4180</v>
      </c>
      <c r="P443" s="4">
        <f>Q443*O443/100</f>
        <v>284.24</v>
      </c>
      <c r="Q443" s="5">
        <v>6.8</v>
      </c>
      <c r="R443" s="2">
        <v>118</v>
      </c>
      <c r="HZ443" s="34"/>
    </row>
    <row r="444" spans="1:234" ht="15" customHeight="1">
      <c r="A444" s="66" t="s">
        <v>325</v>
      </c>
      <c r="B444" s="2">
        <v>2016</v>
      </c>
      <c r="C444" s="1" t="s">
        <v>8</v>
      </c>
      <c r="D444" s="1" t="s">
        <v>611</v>
      </c>
      <c r="E444" s="1" t="s">
        <v>43</v>
      </c>
      <c r="F444" s="1" t="s">
        <v>328</v>
      </c>
      <c r="G444" s="1" t="s">
        <v>329</v>
      </c>
      <c r="H444" s="1" t="s">
        <v>22</v>
      </c>
      <c r="I444" s="1" t="s">
        <v>366</v>
      </c>
      <c r="J444" s="1" t="s">
        <v>16</v>
      </c>
      <c r="K444" s="25" t="s">
        <v>624</v>
      </c>
      <c r="L444" s="4">
        <v>3757</v>
      </c>
      <c r="M444" s="4">
        <f>N444*L444/100</f>
        <v>1604.2390000000003</v>
      </c>
      <c r="N444" s="5">
        <v>42.7</v>
      </c>
      <c r="O444" s="4">
        <v>3757</v>
      </c>
      <c r="P444" s="4">
        <f>Q444*O444/100</f>
        <v>225.42</v>
      </c>
      <c r="Q444" s="5">
        <v>6</v>
      </c>
      <c r="R444" s="2">
        <v>118</v>
      </c>
      <c r="HZ444" s="34"/>
    </row>
    <row r="445" spans="1:234" ht="15" customHeight="1">
      <c r="A445" s="66" t="s">
        <v>330</v>
      </c>
      <c r="B445" s="2">
        <v>2014</v>
      </c>
      <c r="C445" s="1" t="s">
        <v>604</v>
      </c>
      <c r="D445" s="16" t="s">
        <v>53</v>
      </c>
      <c r="E445" s="1" t="s">
        <v>197</v>
      </c>
      <c r="F445" s="1" t="s">
        <v>9</v>
      </c>
      <c r="G445" s="2">
        <v>2011</v>
      </c>
      <c r="H445" s="1" t="s">
        <v>147</v>
      </c>
      <c r="I445" s="1" t="s">
        <v>199</v>
      </c>
      <c r="J445" s="1" t="s">
        <v>11</v>
      </c>
      <c r="K445" s="3" t="s">
        <v>331</v>
      </c>
      <c r="L445" s="1" t="s">
        <v>10</v>
      </c>
      <c r="M445" s="1" t="s">
        <v>10</v>
      </c>
      <c r="N445" s="5" t="s">
        <v>10</v>
      </c>
      <c r="O445" s="4">
        <v>600</v>
      </c>
      <c r="P445" s="4">
        <v>92</v>
      </c>
      <c r="Q445" s="5">
        <v>15.3</v>
      </c>
      <c r="R445" s="2">
        <v>119</v>
      </c>
      <c r="HZ445" s="34"/>
    </row>
    <row r="446" spans="1:234" ht="15" customHeight="1">
      <c r="A446" s="66" t="s">
        <v>330</v>
      </c>
      <c r="B446" s="2">
        <v>2014</v>
      </c>
      <c r="C446" s="1" t="s">
        <v>604</v>
      </c>
      <c r="D446" s="16" t="s">
        <v>53</v>
      </c>
      <c r="E446" s="1" t="s">
        <v>197</v>
      </c>
      <c r="F446" s="1" t="s">
        <v>9</v>
      </c>
      <c r="G446" s="2">
        <v>2011</v>
      </c>
      <c r="H446" s="1" t="s">
        <v>147</v>
      </c>
      <c r="I446" s="1" t="s">
        <v>199</v>
      </c>
      <c r="J446" s="1" t="s">
        <v>11</v>
      </c>
      <c r="K446" s="3" t="s">
        <v>251</v>
      </c>
      <c r="L446" s="1" t="s">
        <v>10</v>
      </c>
      <c r="M446" s="1" t="s">
        <v>10</v>
      </c>
      <c r="N446" s="5" t="s">
        <v>10</v>
      </c>
      <c r="O446" s="4">
        <v>262</v>
      </c>
      <c r="P446" s="4">
        <v>26</v>
      </c>
      <c r="Q446" s="5">
        <v>9.9</v>
      </c>
      <c r="R446" s="2">
        <v>119</v>
      </c>
      <c r="HZ446" s="34"/>
    </row>
    <row r="447" spans="1:234" ht="15" customHeight="1">
      <c r="A447" s="66" t="s">
        <v>330</v>
      </c>
      <c r="B447" s="2">
        <v>2014</v>
      </c>
      <c r="C447" s="1" t="s">
        <v>604</v>
      </c>
      <c r="D447" s="16" t="s">
        <v>53</v>
      </c>
      <c r="E447" s="1" t="s">
        <v>197</v>
      </c>
      <c r="F447" s="1" t="s">
        <v>9</v>
      </c>
      <c r="G447" s="2">
        <v>2011</v>
      </c>
      <c r="H447" s="1" t="s">
        <v>147</v>
      </c>
      <c r="I447" s="1" t="s">
        <v>199</v>
      </c>
      <c r="J447" s="1" t="s">
        <v>11</v>
      </c>
      <c r="K447" s="3" t="s">
        <v>252</v>
      </c>
      <c r="L447" s="1" t="s">
        <v>10</v>
      </c>
      <c r="M447" s="1" t="s">
        <v>10</v>
      </c>
      <c r="N447" s="5" t="s">
        <v>10</v>
      </c>
      <c r="O447" s="4">
        <v>175</v>
      </c>
      <c r="P447" s="4">
        <v>27</v>
      </c>
      <c r="Q447" s="5">
        <v>15.4</v>
      </c>
      <c r="R447" s="2">
        <v>119</v>
      </c>
      <c r="HZ447" s="34"/>
    </row>
    <row r="448" spans="1:234" ht="15" customHeight="1">
      <c r="A448" s="71" t="s">
        <v>330</v>
      </c>
      <c r="B448" s="7">
        <v>2014</v>
      </c>
      <c r="C448" s="8" t="s">
        <v>604</v>
      </c>
      <c r="D448" s="16" t="s">
        <v>53</v>
      </c>
      <c r="E448" s="8" t="s">
        <v>197</v>
      </c>
      <c r="F448" s="8" t="s">
        <v>9</v>
      </c>
      <c r="G448" s="7">
        <v>2011</v>
      </c>
      <c r="H448" s="8" t="s">
        <v>147</v>
      </c>
      <c r="I448" s="8" t="s">
        <v>199</v>
      </c>
      <c r="J448" s="8" t="s">
        <v>11</v>
      </c>
      <c r="K448" s="25" t="s">
        <v>638</v>
      </c>
      <c r="L448" s="8" t="s">
        <v>10</v>
      </c>
      <c r="M448" s="8" t="s">
        <v>10</v>
      </c>
      <c r="N448" s="10" t="s">
        <v>10</v>
      </c>
      <c r="O448" s="9">
        <v>163</v>
      </c>
      <c r="P448" s="9">
        <v>39</v>
      </c>
      <c r="Q448" s="10">
        <v>23.9</v>
      </c>
      <c r="R448" s="7">
        <v>119</v>
      </c>
      <c r="HZ448" s="34"/>
    </row>
    <row r="449" spans="1:233" s="48" customFormat="1" ht="15" customHeight="1">
      <c r="A449" s="72" t="s">
        <v>44</v>
      </c>
      <c r="B449" s="29" t="s">
        <v>10</v>
      </c>
      <c r="C449" s="29" t="s">
        <v>13</v>
      </c>
      <c r="D449" s="29" t="s">
        <v>610</v>
      </c>
      <c r="E449" s="29" t="s">
        <v>67</v>
      </c>
      <c r="F449" s="29" t="s">
        <v>44</v>
      </c>
      <c r="G449" s="29" t="s">
        <v>399</v>
      </c>
      <c r="H449" s="29" t="s">
        <v>22</v>
      </c>
      <c r="I449" s="29" t="s">
        <v>641</v>
      </c>
      <c r="J449" s="29" t="s">
        <v>16</v>
      </c>
      <c r="K449" s="30" t="s">
        <v>142</v>
      </c>
      <c r="L449" s="29">
        <f>SUM(L450:L456)</f>
        <v>3707</v>
      </c>
      <c r="M449" s="29">
        <f>SUM(M450:M456)</f>
        <v>2097</v>
      </c>
      <c r="N449" s="84">
        <f>Table1[[#This Row],[N HSV-1 Ab+]]*100/Table1[[#This Row],[N tested for HSV-1 Ab]]</f>
        <v>56.568653898030753</v>
      </c>
      <c r="O449" s="29">
        <f>SUM(O450:O456)</f>
        <v>2960</v>
      </c>
      <c r="P449" s="29">
        <f>SUM(P450:P456)</f>
        <v>551</v>
      </c>
      <c r="Q449" s="81">
        <f>Table1[[#This Row],[N HSV-2 Ab+]]*100/Table1[[#This Row],[N tested for HSV-2 Ab]]</f>
        <v>18.614864864864863</v>
      </c>
      <c r="R449" s="32">
        <v>28</v>
      </c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</row>
    <row r="450" spans="1:233" s="46" customFormat="1" ht="15" customHeight="1">
      <c r="A450" s="73" t="s">
        <v>44</v>
      </c>
      <c r="B450" s="26" t="s">
        <v>10</v>
      </c>
      <c r="C450" s="26" t="s">
        <v>13</v>
      </c>
      <c r="D450" s="26" t="s">
        <v>610</v>
      </c>
      <c r="E450" s="26" t="s">
        <v>67</v>
      </c>
      <c r="F450" s="26" t="s">
        <v>44</v>
      </c>
      <c r="G450" s="26" t="s">
        <v>399</v>
      </c>
      <c r="H450" s="26" t="s">
        <v>22</v>
      </c>
      <c r="I450" s="26" t="s">
        <v>641</v>
      </c>
      <c r="J450" s="26" t="s">
        <v>16</v>
      </c>
      <c r="K450" s="27" t="s">
        <v>24</v>
      </c>
      <c r="L450" s="26">
        <f>L458+L466</f>
        <v>1250</v>
      </c>
      <c r="M450" s="26">
        <f>M458+M466</f>
        <v>504</v>
      </c>
      <c r="N450" s="82">
        <f>Table1[[#This Row],[N HSV-1 Ab+]]*100/Table1[[#This Row],[N tested for HSV-1 Ab]]</f>
        <v>40.32</v>
      </c>
      <c r="O450" s="26">
        <f>O458+O466</f>
        <v>507</v>
      </c>
      <c r="P450" s="26">
        <f>P458+P466</f>
        <v>12</v>
      </c>
      <c r="Q450" s="82">
        <f>Table1[[#This Row],[N HSV-2 Ab+]]*100/Table1[[#This Row],[N tested for HSV-2 Ab]]</f>
        <v>2.3668639053254439</v>
      </c>
      <c r="R450" s="31">
        <v>28</v>
      </c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</row>
    <row r="451" spans="1:233" s="46" customFormat="1" ht="15" customHeight="1">
      <c r="A451" s="73" t="s">
        <v>44</v>
      </c>
      <c r="B451" s="26" t="s">
        <v>10</v>
      </c>
      <c r="C451" s="26" t="s">
        <v>13</v>
      </c>
      <c r="D451" s="26" t="s">
        <v>610</v>
      </c>
      <c r="E451" s="26" t="s">
        <v>67</v>
      </c>
      <c r="F451" s="26" t="s">
        <v>44</v>
      </c>
      <c r="G451" s="26" t="s">
        <v>399</v>
      </c>
      <c r="H451" s="26" t="s">
        <v>22</v>
      </c>
      <c r="I451" s="26" t="s">
        <v>641</v>
      </c>
      <c r="J451" s="26" t="s">
        <v>16</v>
      </c>
      <c r="K451" s="27" t="s">
        <v>25</v>
      </c>
      <c r="L451" s="26">
        <f t="shared" ref="L451:M451" si="31">L459+L467</f>
        <v>465</v>
      </c>
      <c r="M451" s="26">
        <f t="shared" si="31"/>
        <v>267</v>
      </c>
      <c r="N451" s="82">
        <f>Table1[[#This Row],[N HSV-1 Ab+]]*100/Table1[[#This Row],[N tested for HSV-1 Ab]]</f>
        <v>57.41935483870968</v>
      </c>
      <c r="O451" s="26">
        <f t="shared" ref="O451:P451" si="32">O459+O467</f>
        <v>463</v>
      </c>
      <c r="P451" s="26">
        <f t="shared" si="32"/>
        <v>47</v>
      </c>
      <c r="Q451" s="82">
        <f>Table1[[#This Row],[N HSV-2 Ab+]]*100/Table1[[#This Row],[N tested for HSV-2 Ab]]</f>
        <v>10.151187904967603</v>
      </c>
      <c r="R451" s="31">
        <v>28</v>
      </c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</row>
    <row r="452" spans="1:233" s="46" customFormat="1" ht="15" customHeight="1">
      <c r="A452" s="73" t="s">
        <v>44</v>
      </c>
      <c r="B452" s="26" t="s">
        <v>10</v>
      </c>
      <c r="C452" s="26" t="s">
        <v>13</v>
      </c>
      <c r="D452" s="26" t="s">
        <v>610</v>
      </c>
      <c r="E452" s="26" t="s">
        <v>67</v>
      </c>
      <c r="F452" s="26" t="s">
        <v>44</v>
      </c>
      <c r="G452" s="26" t="s">
        <v>399</v>
      </c>
      <c r="H452" s="26" t="s">
        <v>22</v>
      </c>
      <c r="I452" s="26" t="s">
        <v>641</v>
      </c>
      <c r="J452" s="26" t="s">
        <v>16</v>
      </c>
      <c r="K452" s="27" t="s">
        <v>26</v>
      </c>
      <c r="L452" s="26">
        <f t="shared" ref="L452:M452" si="33">L460+L468</f>
        <v>458</v>
      </c>
      <c r="M452" s="26">
        <f t="shared" si="33"/>
        <v>283</v>
      </c>
      <c r="N452" s="82">
        <f>Table1[[#This Row],[N HSV-1 Ab+]]*100/Table1[[#This Row],[N tested for HSV-1 Ab]]</f>
        <v>61.790393013100434</v>
      </c>
      <c r="O452" s="26">
        <f t="shared" ref="O452:P452" si="34">O460+O468</f>
        <v>458</v>
      </c>
      <c r="P452" s="26">
        <f t="shared" si="34"/>
        <v>77</v>
      </c>
      <c r="Q452" s="82">
        <f>Table1[[#This Row],[N HSV-2 Ab+]]*100/Table1[[#This Row],[N tested for HSV-2 Ab]]</f>
        <v>16.812227074235807</v>
      </c>
      <c r="R452" s="31">
        <v>28</v>
      </c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</row>
    <row r="453" spans="1:233" s="46" customFormat="1" ht="15" customHeight="1">
      <c r="A453" s="73" t="s">
        <v>44</v>
      </c>
      <c r="B453" s="26" t="s">
        <v>10</v>
      </c>
      <c r="C453" s="26" t="s">
        <v>13</v>
      </c>
      <c r="D453" s="26" t="s">
        <v>610</v>
      </c>
      <c r="E453" s="26" t="s">
        <v>67</v>
      </c>
      <c r="F453" s="26" t="s">
        <v>44</v>
      </c>
      <c r="G453" s="26" t="s">
        <v>399</v>
      </c>
      <c r="H453" s="26" t="s">
        <v>22</v>
      </c>
      <c r="I453" s="26" t="s">
        <v>641</v>
      </c>
      <c r="J453" s="26" t="s">
        <v>16</v>
      </c>
      <c r="K453" s="27" t="s">
        <v>27</v>
      </c>
      <c r="L453" s="26">
        <f t="shared" ref="L453:M453" si="35">L461+L469</f>
        <v>391</v>
      </c>
      <c r="M453" s="26">
        <f t="shared" si="35"/>
        <v>258</v>
      </c>
      <c r="N453" s="82">
        <f>Table1[[#This Row],[N HSV-1 Ab+]]*100/Table1[[#This Row],[N tested for HSV-1 Ab]]</f>
        <v>65.984654731457795</v>
      </c>
      <c r="O453" s="26">
        <f t="shared" ref="O453:P453" si="36">O461+O469</f>
        <v>390</v>
      </c>
      <c r="P453" s="26">
        <f t="shared" si="36"/>
        <v>87</v>
      </c>
      <c r="Q453" s="82">
        <f>Table1[[#This Row],[N HSV-2 Ab+]]*100/Table1[[#This Row],[N tested for HSV-2 Ab]]</f>
        <v>22.307692307692307</v>
      </c>
      <c r="R453" s="31">
        <v>28</v>
      </c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</row>
    <row r="454" spans="1:233" s="46" customFormat="1" ht="15" customHeight="1">
      <c r="A454" s="73" t="s">
        <v>44</v>
      </c>
      <c r="B454" s="26" t="s">
        <v>10</v>
      </c>
      <c r="C454" s="26" t="s">
        <v>13</v>
      </c>
      <c r="D454" s="26" t="s">
        <v>610</v>
      </c>
      <c r="E454" s="26" t="s">
        <v>67</v>
      </c>
      <c r="F454" s="26" t="s">
        <v>44</v>
      </c>
      <c r="G454" s="26" t="s">
        <v>399</v>
      </c>
      <c r="H454" s="26" t="s">
        <v>22</v>
      </c>
      <c r="I454" s="26" t="s">
        <v>641</v>
      </c>
      <c r="J454" s="26" t="s">
        <v>16</v>
      </c>
      <c r="K454" s="27" t="s">
        <v>28</v>
      </c>
      <c r="L454" s="26">
        <f t="shared" ref="L454:M454" si="37">L462+L470</f>
        <v>367</v>
      </c>
      <c r="M454" s="26">
        <f t="shared" si="37"/>
        <v>253</v>
      </c>
      <c r="N454" s="82">
        <f>Table1[[#This Row],[N HSV-1 Ab+]]*100/Table1[[#This Row],[N tested for HSV-1 Ab]]</f>
        <v>68.937329700272485</v>
      </c>
      <c r="O454" s="26">
        <f t="shared" ref="O454:P454" si="38">O462+O470</f>
        <v>366</v>
      </c>
      <c r="P454" s="26">
        <f t="shared" si="38"/>
        <v>94</v>
      </c>
      <c r="Q454" s="82">
        <f>Table1[[#This Row],[N HSV-2 Ab+]]*100/Table1[[#This Row],[N tested for HSV-2 Ab]]</f>
        <v>25.683060109289617</v>
      </c>
      <c r="R454" s="31">
        <v>28</v>
      </c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</row>
    <row r="455" spans="1:233" s="46" customFormat="1" ht="15" customHeight="1">
      <c r="A455" s="73" t="s">
        <v>44</v>
      </c>
      <c r="B455" s="26" t="s">
        <v>10</v>
      </c>
      <c r="C455" s="26" t="s">
        <v>13</v>
      </c>
      <c r="D455" s="26" t="s">
        <v>610</v>
      </c>
      <c r="E455" s="26" t="s">
        <v>67</v>
      </c>
      <c r="F455" s="26" t="s">
        <v>44</v>
      </c>
      <c r="G455" s="26" t="s">
        <v>399</v>
      </c>
      <c r="H455" s="26" t="s">
        <v>22</v>
      </c>
      <c r="I455" s="26" t="s">
        <v>641</v>
      </c>
      <c r="J455" s="26" t="s">
        <v>16</v>
      </c>
      <c r="K455" s="27" t="s">
        <v>72</v>
      </c>
      <c r="L455" s="26">
        <f t="shared" ref="L455:M455" si="39">L463+L471</f>
        <v>394</v>
      </c>
      <c r="M455" s="26">
        <f t="shared" si="39"/>
        <v>276</v>
      </c>
      <c r="N455" s="82">
        <f>Table1[[#This Row],[N HSV-1 Ab+]]*100/Table1[[#This Row],[N tested for HSV-1 Ab]]</f>
        <v>70.050761421319791</v>
      </c>
      <c r="O455" s="26">
        <f t="shared" ref="O455:P455" si="40">O463+O471</f>
        <v>394</v>
      </c>
      <c r="P455" s="26">
        <f t="shared" si="40"/>
        <v>107</v>
      </c>
      <c r="Q455" s="82">
        <f>Table1[[#This Row],[N HSV-2 Ab+]]*100/Table1[[#This Row],[N tested for HSV-2 Ab]]</f>
        <v>27.157360406091371</v>
      </c>
      <c r="R455" s="31">
        <v>28</v>
      </c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</row>
    <row r="456" spans="1:233" s="46" customFormat="1" ht="15" customHeight="1">
      <c r="A456" s="73" t="s">
        <v>44</v>
      </c>
      <c r="B456" s="26" t="s">
        <v>10</v>
      </c>
      <c r="C456" s="26" t="s">
        <v>13</v>
      </c>
      <c r="D456" s="26" t="s">
        <v>610</v>
      </c>
      <c r="E456" s="26" t="s">
        <v>67</v>
      </c>
      <c r="F456" s="26" t="s">
        <v>44</v>
      </c>
      <c r="G456" s="26" t="s">
        <v>399</v>
      </c>
      <c r="H456" s="26" t="s">
        <v>22</v>
      </c>
      <c r="I456" s="26" t="s">
        <v>641</v>
      </c>
      <c r="J456" s="26" t="s">
        <v>16</v>
      </c>
      <c r="K456" s="27" t="s">
        <v>73</v>
      </c>
      <c r="L456" s="26">
        <f t="shared" ref="L456:M456" si="41">L464+L472</f>
        <v>382</v>
      </c>
      <c r="M456" s="26">
        <f t="shared" si="41"/>
        <v>256</v>
      </c>
      <c r="N456" s="82">
        <f>Table1[[#This Row],[N HSV-1 Ab+]]*100/Table1[[#This Row],[N tested for HSV-1 Ab]]</f>
        <v>67.015706806282722</v>
      </c>
      <c r="O456" s="26">
        <f t="shared" ref="O456:P456" si="42">O464+O472</f>
        <v>382</v>
      </c>
      <c r="P456" s="26">
        <f t="shared" si="42"/>
        <v>127</v>
      </c>
      <c r="Q456" s="82">
        <f>Table1[[#This Row],[N HSV-2 Ab+]]*100/Table1[[#This Row],[N tested for HSV-2 Ab]]</f>
        <v>33.246073298429316</v>
      </c>
      <c r="R456" s="31">
        <v>28</v>
      </c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</row>
    <row r="457" spans="1:233" s="46" customFormat="1" ht="15" customHeight="1">
      <c r="A457" s="73" t="s">
        <v>44</v>
      </c>
      <c r="B457" s="26" t="s">
        <v>10</v>
      </c>
      <c r="C457" s="26" t="s">
        <v>13</v>
      </c>
      <c r="D457" s="26" t="s">
        <v>610</v>
      </c>
      <c r="E457" s="26" t="s">
        <v>67</v>
      </c>
      <c r="F457" s="26" t="s">
        <v>44</v>
      </c>
      <c r="G457" s="26" t="s">
        <v>399</v>
      </c>
      <c r="H457" s="26" t="s">
        <v>22</v>
      </c>
      <c r="I457" s="26" t="s">
        <v>641</v>
      </c>
      <c r="J457" s="26" t="s">
        <v>23</v>
      </c>
      <c r="K457" s="27" t="s">
        <v>142</v>
      </c>
      <c r="L457" s="26">
        <f>SUM(L458:L464)</f>
        <v>1741</v>
      </c>
      <c r="M457" s="26">
        <f>SUM(M458:M464)</f>
        <v>955</v>
      </c>
      <c r="N457" s="82">
        <f>Table1[[#This Row],[N HSV-1 Ab+]]*100/Table1[[#This Row],[N tested for HSV-1 Ab]]</f>
        <v>54.853532452613443</v>
      </c>
      <c r="O457" s="26">
        <f>SUM(O458:O464)</f>
        <v>1367</v>
      </c>
      <c r="P457" s="26">
        <f>SUM(P458:P464)</f>
        <v>189</v>
      </c>
      <c r="Q457" s="21">
        <f>Table1[[#This Row],[N HSV-2 Ab+]]*100/Table1[[#This Row],[N tested for HSV-2 Ab]]</f>
        <v>13.825896122896854</v>
      </c>
      <c r="R457" s="31">
        <v>28</v>
      </c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</row>
    <row r="458" spans="1:233" s="46" customFormat="1" ht="15" customHeight="1">
      <c r="A458" s="73" t="s">
        <v>44</v>
      </c>
      <c r="B458" s="26" t="s">
        <v>10</v>
      </c>
      <c r="C458" s="26" t="s">
        <v>13</v>
      </c>
      <c r="D458" s="26" t="s">
        <v>610</v>
      </c>
      <c r="E458" s="26" t="s">
        <v>67</v>
      </c>
      <c r="F458" s="26" t="s">
        <v>44</v>
      </c>
      <c r="G458" s="26" t="s">
        <v>399</v>
      </c>
      <c r="H458" s="26" t="s">
        <v>22</v>
      </c>
      <c r="I458" s="26" t="s">
        <v>641</v>
      </c>
      <c r="J458" s="26" t="s">
        <v>23</v>
      </c>
      <c r="K458" s="27" t="s">
        <v>24</v>
      </c>
      <c r="L458" s="26">
        <f>233+394</f>
        <v>627</v>
      </c>
      <c r="M458" s="28">
        <v>233</v>
      </c>
      <c r="N458" s="82">
        <f>37.16</f>
        <v>37.159999999999997</v>
      </c>
      <c r="O458" s="28">
        <v>256</v>
      </c>
      <c r="P458" s="28">
        <v>4</v>
      </c>
      <c r="Q458" s="21">
        <v>1.26</v>
      </c>
      <c r="R458" s="31">
        <v>28</v>
      </c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</row>
    <row r="459" spans="1:233" s="46" customFormat="1" ht="15" customHeight="1">
      <c r="A459" s="73" t="s">
        <v>44</v>
      </c>
      <c r="B459" s="26" t="s">
        <v>10</v>
      </c>
      <c r="C459" s="26" t="s">
        <v>13</v>
      </c>
      <c r="D459" s="26" t="s">
        <v>610</v>
      </c>
      <c r="E459" s="26" t="s">
        <v>67</v>
      </c>
      <c r="F459" s="26" t="s">
        <v>44</v>
      </c>
      <c r="G459" s="26" t="s">
        <v>399</v>
      </c>
      <c r="H459" s="26" t="s">
        <v>22</v>
      </c>
      <c r="I459" s="26" t="s">
        <v>641</v>
      </c>
      <c r="J459" s="26" t="s">
        <v>23</v>
      </c>
      <c r="K459" s="27" t="s">
        <v>25</v>
      </c>
      <c r="L459" s="26">
        <f>104+87</f>
        <v>191</v>
      </c>
      <c r="M459" s="28">
        <v>104</v>
      </c>
      <c r="N459" s="82">
        <v>54.45</v>
      </c>
      <c r="O459" s="28">
        <f>16+174</f>
        <v>190</v>
      </c>
      <c r="P459" s="28">
        <v>16</v>
      </c>
      <c r="Q459" s="21">
        <v>8.42</v>
      </c>
      <c r="R459" s="31">
        <v>28</v>
      </c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</row>
    <row r="460" spans="1:233" s="46" customFormat="1" ht="15" customHeight="1">
      <c r="A460" s="73" t="s">
        <v>44</v>
      </c>
      <c r="B460" s="26" t="s">
        <v>10</v>
      </c>
      <c r="C460" s="26" t="s">
        <v>13</v>
      </c>
      <c r="D460" s="26" t="s">
        <v>610</v>
      </c>
      <c r="E460" s="26" t="s">
        <v>67</v>
      </c>
      <c r="F460" s="26" t="s">
        <v>44</v>
      </c>
      <c r="G460" s="26" t="s">
        <v>399</v>
      </c>
      <c r="H460" s="26" t="s">
        <v>22</v>
      </c>
      <c r="I460" s="26" t="s">
        <v>641</v>
      </c>
      <c r="J460" s="26" t="s">
        <v>23</v>
      </c>
      <c r="K460" s="27" t="s">
        <v>26</v>
      </c>
      <c r="L460" s="26">
        <v>180</v>
      </c>
      <c r="M460" s="28">
        <v>113</v>
      </c>
      <c r="N460" s="82">
        <v>62.78</v>
      </c>
      <c r="O460" s="28">
        <v>180</v>
      </c>
      <c r="P460" s="28">
        <v>12</v>
      </c>
      <c r="Q460" s="21">
        <v>6.67</v>
      </c>
      <c r="R460" s="31">
        <v>28</v>
      </c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</row>
    <row r="461" spans="1:233" s="46" customFormat="1" ht="15" customHeight="1">
      <c r="A461" s="73" t="s">
        <v>44</v>
      </c>
      <c r="B461" s="26" t="s">
        <v>10</v>
      </c>
      <c r="C461" s="26" t="s">
        <v>13</v>
      </c>
      <c r="D461" s="26" t="s">
        <v>610</v>
      </c>
      <c r="E461" s="26" t="s">
        <v>67</v>
      </c>
      <c r="F461" s="26" t="s">
        <v>44</v>
      </c>
      <c r="G461" s="26" t="s">
        <v>399</v>
      </c>
      <c r="H461" s="26" t="s">
        <v>22</v>
      </c>
      <c r="I461" s="26" t="s">
        <v>641</v>
      </c>
      <c r="J461" s="26" t="s">
        <v>23</v>
      </c>
      <c r="K461" s="27" t="s">
        <v>27</v>
      </c>
      <c r="L461" s="26">
        <v>171</v>
      </c>
      <c r="M461" s="28">
        <v>107</v>
      </c>
      <c r="N461" s="82">
        <v>62.57</v>
      </c>
      <c r="O461" s="28">
        <v>170</v>
      </c>
      <c r="P461" s="28">
        <v>29</v>
      </c>
      <c r="Q461" s="21">
        <v>17.059999999999999</v>
      </c>
      <c r="R461" s="31">
        <v>28</v>
      </c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</row>
    <row r="462" spans="1:233" s="46" customFormat="1" ht="15" customHeight="1">
      <c r="A462" s="73" t="s">
        <v>44</v>
      </c>
      <c r="B462" s="26" t="s">
        <v>10</v>
      </c>
      <c r="C462" s="26" t="s">
        <v>13</v>
      </c>
      <c r="D462" s="26" t="s">
        <v>610</v>
      </c>
      <c r="E462" s="26" t="s">
        <v>67</v>
      </c>
      <c r="F462" s="26" t="s">
        <v>44</v>
      </c>
      <c r="G462" s="26" t="s">
        <v>399</v>
      </c>
      <c r="H462" s="26" t="s">
        <v>22</v>
      </c>
      <c r="I462" s="26" t="s">
        <v>641</v>
      </c>
      <c r="J462" s="26" t="s">
        <v>23</v>
      </c>
      <c r="K462" s="27" t="s">
        <v>28</v>
      </c>
      <c r="L462" s="26">
        <v>191</v>
      </c>
      <c r="M462" s="28">
        <v>137</v>
      </c>
      <c r="N462" s="82">
        <v>71.73</v>
      </c>
      <c r="O462" s="28">
        <v>190</v>
      </c>
      <c r="P462" s="28">
        <v>36</v>
      </c>
      <c r="Q462" s="21">
        <v>18.95</v>
      </c>
      <c r="R462" s="31">
        <v>28</v>
      </c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</row>
    <row r="463" spans="1:233" s="46" customFormat="1" ht="15" customHeight="1">
      <c r="A463" s="73" t="s">
        <v>44</v>
      </c>
      <c r="B463" s="26" t="s">
        <v>10</v>
      </c>
      <c r="C463" s="26" t="s">
        <v>13</v>
      </c>
      <c r="D463" s="26" t="s">
        <v>610</v>
      </c>
      <c r="E463" s="26" t="s">
        <v>67</v>
      </c>
      <c r="F463" s="26" t="s">
        <v>44</v>
      </c>
      <c r="G463" s="26" t="s">
        <v>399</v>
      </c>
      <c r="H463" s="26" t="s">
        <v>22</v>
      </c>
      <c r="I463" s="26" t="s">
        <v>641</v>
      </c>
      <c r="J463" s="26" t="s">
        <v>23</v>
      </c>
      <c r="K463" s="27" t="s">
        <v>72</v>
      </c>
      <c r="L463" s="26">
        <v>189</v>
      </c>
      <c r="M463" s="28">
        <v>133</v>
      </c>
      <c r="N463" s="82">
        <v>70.37</v>
      </c>
      <c r="O463" s="28">
        <v>189</v>
      </c>
      <c r="P463" s="28">
        <v>44</v>
      </c>
      <c r="Q463" s="21">
        <v>23.28</v>
      </c>
      <c r="R463" s="31">
        <v>28</v>
      </c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</row>
    <row r="464" spans="1:233" s="46" customFormat="1" ht="15" customHeight="1">
      <c r="A464" s="73" t="s">
        <v>44</v>
      </c>
      <c r="B464" s="26" t="s">
        <v>10</v>
      </c>
      <c r="C464" s="26" t="s">
        <v>13</v>
      </c>
      <c r="D464" s="26" t="s">
        <v>610</v>
      </c>
      <c r="E464" s="26" t="s">
        <v>67</v>
      </c>
      <c r="F464" s="26" t="s">
        <v>44</v>
      </c>
      <c r="G464" s="26" t="s">
        <v>399</v>
      </c>
      <c r="H464" s="26" t="s">
        <v>22</v>
      </c>
      <c r="I464" s="26" t="s">
        <v>641</v>
      </c>
      <c r="J464" s="26" t="s">
        <v>23</v>
      </c>
      <c r="K464" s="27" t="s">
        <v>73</v>
      </c>
      <c r="L464" s="26">
        <v>192</v>
      </c>
      <c r="M464" s="28">
        <v>128</v>
      </c>
      <c r="N464" s="82">
        <v>66.67</v>
      </c>
      <c r="O464" s="28">
        <v>192</v>
      </c>
      <c r="P464" s="28">
        <v>48</v>
      </c>
      <c r="Q464" s="21">
        <v>25</v>
      </c>
      <c r="R464" s="31">
        <v>28</v>
      </c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</row>
    <row r="465" spans="1:233" s="46" customFormat="1" ht="15" customHeight="1">
      <c r="A465" s="73" t="s">
        <v>44</v>
      </c>
      <c r="B465" s="26" t="s">
        <v>10</v>
      </c>
      <c r="C465" s="26" t="s">
        <v>13</v>
      </c>
      <c r="D465" s="26" t="s">
        <v>610</v>
      </c>
      <c r="E465" s="26" t="s">
        <v>67</v>
      </c>
      <c r="F465" s="26" t="s">
        <v>44</v>
      </c>
      <c r="G465" s="26" t="s">
        <v>399</v>
      </c>
      <c r="H465" s="26" t="s">
        <v>22</v>
      </c>
      <c r="I465" s="26" t="s">
        <v>641</v>
      </c>
      <c r="J465" s="26" t="s">
        <v>11</v>
      </c>
      <c r="K465" s="27" t="s">
        <v>142</v>
      </c>
      <c r="L465" s="26">
        <f>SUM(L466:L472)</f>
        <v>1966</v>
      </c>
      <c r="M465" s="26">
        <f>SUM(M466:M472)</f>
        <v>1142</v>
      </c>
      <c r="N465" s="82">
        <f>Table1[[#This Row],[N HSV-1 Ab+]]*100/Table1[[#This Row],[N tested for HSV-1 Ab]]</f>
        <v>58.087487283825027</v>
      </c>
      <c r="O465" s="26">
        <f>SUM(O466:O472)</f>
        <v>1593</v>
      </c>
      <c r="P465" s="26">
        <f>SUM(P466:P472)</f>
        <v>362</v>
      </c>
      <c r="Q465" s="21">
        <f>Table1[[#This Row],[N HSV-2 Ab+]]*100/Table1[[#This Row],[N tested for HSV-2 Ab]]</f>
        <v>22.724419334588827</v>
      </c>
      <c r="R465" s="31">
        <v>28</v>
      </c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  <c r="HX465" s="45"/>
      <c r="HY465" s="45"/>
    </row>
    <row r="466" spans="1:233" s="46" customFormat="1" ht="15" customHeight="1">
      <c r="A466" s="73" t="s">
        <v>44</v>
      </c>
      <c r="B466" s="26" t="s">
        <v>10</v>
      </c>
      <c r="C466" s="26" t="s">
        <v>13</v>
      </c>
      <c r="D466" s="26" t="s">
        <v>610</v>
      </c>
      <c r="E466" s="26" t="s">
        <v>67</v>
      </c>
      <c r="F466" s="26" t="s">
        <v>44</v>
      </c>
      <c r="G466" s="26" t="s">
        <v>399</v>
      </c>
      <c r="H466" s="26" t="s">
        <v>22</v>
      </c>
      <c r="I466" s="26" t="s">
        <v>641</v>
      </c>
      <c r="J466" s="26" t="s">
        <v>11</v>
      </c>
      <c r="K466" s="27" t="s">
        <v>24</v>
      </c>
      <c r="L466" s="26">
        <v>623</v>
      </c>
      <c r="M466" s="28">
        <v>271</v>
      </c>
      <c r="N466" s="82">
        <v>43.5</v>
      </c>
      <c r="O466" s="28">
        <v>251</v>
      </c>
      <c r="P466" s="28">
        <v>8</v>
      </c>
      <c r="Q466" s="21">
        <v>3.19</v>
      </c>
      <c r="R466" s="31">
        <v>28</v>
      </c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</row>
    <row r="467" spans="1:233" s="46" customFormat="1" ht="15" customHeight="1">
      <c r="A467" s="73" t="s">
        <v>44</v>
      </c>
      <c r="B467" s="26" t="s">
        <v>10</v>
      </c>
      <c r="C467" s="26" t="s">
        <v>13</v>
      </c>
      <c r="D467" s="26" t="s">
        <v>610</v>
      </c>
      <c r="E467" s="26" t="s">
        <v>67</v>
      </c>
      <c r="F467" s="26" t="s">
        <v>44</v>
      </c>
      <c r="G467" s="26" t="s">
        <v>399</v>
      </c>
      <c r="H467" s="26" t="s">
        <v>22</v>
      </c>
      <c r="I467" s="26" t="s">
        <v>641</v>
      </c>
      <c r="J467" s="26" t="s">
        <v>11</v>
      </c>
      <c r="K467" s="27" t="s">
        <v>25</v>
      </c>
      <c r="L467" s="26">
        <v>274</v>
      </c>
      <c r="M467" s="28">
        <v>163</v>
      </c>
      <c r="N467" s="82">
        <v>59.49</v>
      </c>
      <c r="O467" s="28">
        <v>273</v>
      </c>
      <c r="P467" s="28">
        <v>31</v>
      </c>
      <c r="Q467" s="21">
        <v>11.36</v>
      </c>
      <c r="R467" s="31">
        <v>28</v>
      </c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</row>
    <row r="468" spans="1:233" s="46" customFormat="1" ht="15" customHeight="1">
      <c r="A468" s="73" t="s">
        <v>44</v>
      </c>
      <c r="B468" s="26" t="s">
        <v>10</v>
      </c>
      <c r="C468" s="26" t="s">
        <v>13</v>
      </c>
      <c r="D468" s="26" t="s">
        <v>610</v>
      </c>
      <c r="E468" s="26" t="s">
        <v>67</v>
      </c>
      <c r="F468" s="26" t="s">
        <v>44</v>
      </c>
      <c r="G468" s="26" t="s">
        <v>399</v>
      </c>
      <c r="H468" s="26" t="s">
        <v>22</v>
      </c>
      <c r="I468" s="26" t="s">
        <v>641</v>
      </c>
      <c r="J468" s="26" t="s">
        <v>11</v>
      </c>
      <c r="K468" s="27" t="s">
        <v>26</v>
      </c>
      <c r="L468" s="26">
        <v>278</v>
      </c>
      <c r="M468" s="28">
        <v>170</v>
      </c>
      <c r="N468" s="82">
        <v>61.15</v>
      </c>
      <c r="O468" s="28">
        <v>278</v>
      </c>
      <c r="P468" s="28">
        <v>65</v>
      </c>
      <c r="Q468" s="21">
        <v>23.38</v>
      </c>
      <c r="R468" s="31">
        <v>28</v>
      </c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</row>
    <row r="469" spans="1:233" s="46" customFormat="1" ht="15" customHeight="1">
      <c r="A469" s="73" t="s">
        <v>44</v>
      </c>
      <c r="B469" s="26" t="s">
        <v>10</v>
      </c>
      <c r="C469" s="26" t="s">
        <v>13</v>
      </c>
      <c r="D469" s="26" t="s">
        <v>610</v>
      </c>
      <c r="E469" s="26" t="s">
        <v>67</v>
      </c>
      <c r="F469" s="26" t="s">
        <v>44</v>
      </c>
      <c r="G469" s="26" t="s">
        <v>399</v>
      </c>
      <c r="H469" s="26" t="s">
        <v>22</v>
      </c>
      <c r="I469" s="26" t="s">
        <v>641</v>
      </c>
      <c r="J469" s="26" t="s">
        <v>11</v>
      </c>
      <c r="K469" s="27" t="s">
        <v>27</v>
      </c>
      <c r="L469" s="26">
        <v>220</v>
      </c>
      <c r="M469" s="28">
        <v>151</v>
      </c>
      <c r="N469" s="82">
        <v>68.64</v>
      </c>
      <c r="O469" s="28">
        <v>220</v>
      </c>
      <c r="P469" s="28">
        <v>58</v>
      </c>
      <c r="Q469" s="21">
        <v>26.36</v>
      </c>
      <c r="R469" s="31">
        <v>28</v>
      </c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</row>
    <row r="470" spans="1:233" s="46" customFormat="1" ht="15" customHeight="1">
      <c r="A470" s="73" t="s">
        <v>44</v>
      </c>
      <c r="B470" s="26" t="s">
        <v>10</v>
      </c>
      <c r="C470" s="26" t="s">
        <v>13</v>
      </c>
      <c r="D470" s="26" t="s">
        <v>610</v>
      </c>
      <c r="E470" s="26" t="s">
        <v>67</v>
      </c>
      <c r="F470" s="26" t="s">
        <v>44</v>
      </c>
      <c r="G470" s="26" t="s">
        <v>399</v>
      </c>
      <c r="H470" s="26" t="s">
        <v>22</v>
      </c>
      <c r="I470" s="26" t="s">
        <v>641</v>
      </c>
      <c r="J470" s="26" t="s">
        <v>11</v>
      </c>
      <c r="K470" s="27" t="s">
        <v>28</v>
      </c>
      <c r="L470" s="26">
        <v>176</v>
      </c>
      <c r="M470" s="28">
        <v>116</v>
      </c>
      <c r="N470" s="82">
        <v>65.91</v>
      </c>
      <c r="O470" s="28">
        <v>176</v>
      </c>
      <c r="P470" s="28">
        <v>58</v>
      </c>
      <c r="Q470" s="21">
        <v>32.950000000000003</v>
      </c>
      <c r="R470" s="31">
        <v>28</v>
      </c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</row>
    <row r="471" spans="1:233" s="46" customFormat="1" ht="15" customHeight="1">
      <c r="A471" s="73" t="s">
        <v>44</v>
      </c>
      <c r="B471" s="26" t="s">
        <v>10</v>
      </c>
      <c r="C471" s="26" t="s">
        <v>13</v>
      </c>
      <c r="D471" s="26" t="s">
        <v>610</v>
      </c>
      <c r="E471" s="26" t="s">
        <v>67</v>
      </c>
      <c r="F471" s="26" t="s">
        <v>44</v>
      </c>
      <c r="G471" s="26" t="s">
        <v>399</v>
      </c>
      <c r="H471" s="26" t="s">
        <v>22</v>
      </c>
      <c r="I471" s="26" t="s">
        <v>641</v>
      </c>
      <c r="J471" s="26" t="s">
        <v>11</v>
      </c>
      <c r="K471" s="27" t="s">
        <v>72</v>
      </c>
      <c r="L471" s="26">
        <v>205</v>
      </c>
      <c r="M471" s="28">
        <v>143</v>
      </c>
      <c r="N471" s="82">
        <v>69.760000000000005</v>
      </c>
      <c r="O471" s="28">
        <v>205</v>
      </c>
      <c r="P471" s="28">
        <v>63</v>
      </c>
      <c r="Q471" s="21">
        <v>30.73</v>
      </c>
      <c r="R471" s="31">
        <v>28</v>
      </c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</row>
    <row r="472" spans="1:233" s="46" customFormat="1" ht="15" customHeight="1">
      <c r="A472" s="73" t="s">
        <v>44</v>
      </c>
      <c r="B472" s="26" t="s">
        <v>10</v>
      </c>
      <c r="C472" s="26" t="s">
        <v>13</v>
      </c>
      <c r="D472" s="26" t="s">
        <v>610</v>
      </c>
      <c r="E472" s="26" t="s">
        <v>67</v>
      </c>
      <c r="F472" s="26" t="s">
        <v>44</v>
      </c>
      <c r="G472" s="26" t="s">
        <v>399</v>
      </c>
      <c r="H472" s="26" t="s">
        <v>22</v>
      </c>
      <c r="I472" s="26" t="s">
        <v>641</v>
      </c>
      <c r="J472" s="26" t="s">
        <v>11</v>
      </c>
      <c r="K472" s="27" t="s">
        <v>73</v>
      </c>
      <c r="L472" s="26">
        <v>190</v>
      </c>
      <c r="M472" s="28">
        <v>128</v>
      </c>
      <c r="N472" s="82">
        <v>67.37</v>
      </c>
      <c r="O472" s="28">
        <v>190</v>
      </c>
      <c r="P472" s="28">
        <v>79</v>
      </c>
      <c r="Q472" s="21">
        <v>41.58</v>
      </c>
      <c r="R472" s="31">
        <v>28</v>
      </c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</row>
    <row r="473" spans="1:233" s="46" customFormat="1" ht="15" customHeight="1">
      <c r="A473" s="73" t="s">
        <v>44</v>
      </c>
      <c r="B473" s="26" t="s">
        <v>10</v>
      </c>
      <c r="C473" s="26" t="s">
        <v>13</v>
      </c>
      <c r="D473" s="26" t="s">
        <v>610</v>
      </c>
      <c r="E473" s="26" t="s">
        <v>67</v>
      </c>
      <c r="F473" s="26" t="s">
        <v>44</v>
      </c>
      <c r="G473" s="26" t="s">
        <v>173</v>
      </c>
      <c r="H473" s="26" t="s">
        <v>22</v>
      </c>
      <c r="I473" s="26" t="s">
        <v>641</v>
      </c>
      <c r="J473" s="26" t="s">
        <v>16</v>
      </c>
      <c r="K473" s="27" t="s">
        <v>142</v>
      </c>
      <c r="L473" s="26">
        <f>L481+L489</f>
        <v>3206</v>
      </c>
      <c r="M473" s="26">
        <f>M481+M489</f>
        <v>1975</v>
      </c>
      <c r="N473" s="82">
        <f>M473*100/L473</f>
        <v>61.603243917654396</v>
      </c>
      <c r="O473" s="26">
        <f>O481+O489</f>
        <v>2791</v>
      </c>
      <c r="P473" s="26">
        <f>P481+P489</f>
        <v>610</v>
      </c>
      <c r="Q473" s="82">
        <f>P473*100/O473</f>
        <v>21.855965603726261</v>
      </c>
      <c r="R473" s="31">
        <v>28</v>
      </c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</row>
    <row r="474" spans="1:233" s="46" customFormat="1" ht="15" customHeight="1">
      <c r="A474" s="73" t="s">
        <v>44</v>
      </c>
      <c r="B474" s="26" t="s">
        <v>10</v>
      </c>
      <c r="C474" s="26" t="s">
        <v>13</v>
      </c>
      <c r="D474" s="26" t="s">
        <v>610</v>
      </c>
      <c r="E474" s="26" t="s">
        <v>67</v>
      </c>
      <c r="F474" s="26" t="s">
        <v>44</v>
      </c>
      <c r="G474" s="26" t="s">
        <v>173</v>
      </c>
      <c r="H474" s="26" t="s">
        <v>22</v>
      </c>
      <c r="I474" s="26" t="s">
        <v>641</v>
      </c>
      <c r="J474" s="26" t="s">
        <v>16</v>
      </c>
      <c r="K474" s="27" t="s">
        <v>24</v>
      </c>
      <c r="L474" s="26">
        <f t="shared" ref="L474:M474" si="43">L482+L490</f>
        <v>660</v>
      </c>
      <c r="M474" s="26">
        <f t="shared" si="43"/>
        <v>260</v>
      </c>
      <c r="N474" s="82">
        <f t="shared" ref="N474:N480" si="44">M474*100/L474</f>
        <v>39.393939393939391</v>
      </c>
      <c r="O474" s="26">
        <f t="shared" ref="O474:P474" si="45">O482+O490</f>
        <v>253</v>
      </c>
      <c r="P474" s="26">
        <f t="shared" si="45"/>
        <v>13</v>
      </c>
      <c r="Q474" s="82">
        <f t="shared" ref="Q474:Q480" si="46">P474*100/O474</f>
        <v>5.1383399209486162</v>
      </c>
      <c r="R474" s="31">
        <v>28</v>
      </c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</row>
    <row r="475" spans="1:233" s="46" customFormat="1" ht="15" customHeight="1">
      <c r="A475" s="73" t="s">
        <v>44</v>
      </c>
      <c r="B475" s="26" t="s">
        <v>10</v>
      </c>
      <c r="C475" s="26" t="s">
        <v>13</v>
      </c>
      <c r="D475" s="26" t="s">
        <v>610</v>
      </c>
      <c r="E475" s="26" t="s">
        <v>67</v>
      </c>
      <c r="F475" s="26" t="s">
        <v>44</v>
      </c>
      <c r="G475" s="26" t="s">
        <v>173</v>
      </c>
      <c r="H475" s="26" t="s">
        <v>22</v>
      </c>
      <c r="I475" s="26" t="s">
        <v>641</v>
      </c>
      <c r="J475" s="26" t="s">
        <v>16</v>
      </c>
      <c r="K475" s="27" t="s">
        <v>25</v>
      </c>
      <c r="L475" s="26">
        <f t="shared" ref="L475:M475" si="47">L483+L491</f>
        <v>399</v>
      </c>
      <c r="M475" s="26">
        <f t="shared" si="47"/>
        <v>210</v>
      </c>
      <c r="N475" s="82">
        <f t="shared" si="44"/>
        <v>52.631578947368418</v>
      </c>
      <c r="O475" s="26">
        <f t="shared" ref="O475:P475" si="48">O483+O491</f>
        <v>398</v>
      </c>
      <c r="P475" s="26">
        <f t="shared" si="48"/>
        <v>45</v>
      </c>
      <c r="Q475" s="82">
        <f t="shared" si="46"/>
        <v>11.306532663316583</v>
      </c>
      <c r="R475" s="31">
        <v>28</v>
      </c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</row>
    <row r="476" spans="1:233" s="46" customFormat="1" ht="15" customHeight="1">
      <c r="A476" s="73" t="s">
        <v>44</v>
      </c>
      <c r="B476" s="26" t="s">
        <v>10</v>
      </c>
      <c r="C476" s="26" t="s">
        <v>13</v>
      </c>
      <c r="D476" s="26" t="s">
        <v>610</v>
      </c>
      <c r="E476" s="26" t="s">
        <v>67</v>
      </c>
      <c r="F476" s="26" t="s">
        <v>44</v>
      </c>
      <c r="G476" s="26" t="s">
        <v>173</v>
      </c>
      <c r="H476" s="26" t="s">
        <v>22</v>
      </c>
      <c r="I476" s="26" t="s">
        <v>641</v>
      </c>
      <c r="J476" s="26" t="s">
        <v>16</v>
      </c>
      <c r="K476" s="27" t="s">
        <v>26</v>
      </c>
      <c r="L476" s="26">
        <f t="shared" ref="L476:M476" si="49">L484+L492</f>
        <v>387</v>
      </c>
      <c r="M476" s="26">
        <f t="shared" si="49"/>
        <v>241</v>
      </c>
      <c r="N476" s="82">
        <f t="shared" si="44"/>
        <v>62.273901808785531</v>
      </c>
      <c r="O476" s="26">
        <f t="shared" ref="O476:P476" si="50">O484+O492</f>
        <v>387</v>
      </c>
      <c r="P476" s="26">
        <f t="shared" si="50"/>
        <v>64</v>
      </c>
      <c r="Q476" s="82">
        <f t="shared" si="46"/>
        <v>16.537467700258397</v>
      </c>
      <c r="R476" s="31">
        <v>28</v>
      </c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</row>
    <row r="477" spans="1:233" s="46" customFormat="1" ht="15" customHeight="1">
      <c r="A477" s="73" t="s">
        <v>44</v>
      </c>
      <c r="B477" s="26" t="s">
        <v>10</v>
      </c>
      <c r="C477" s="26" t="s">
        <v>13</v>
      </c>
      <c r="D477" s="26" t="s">
        <v>610</v>
      </c>
      <c r="E477" s="26" t="s">
        <v>67</v>
      </c>
      <c r="F477" s="26" t="s">
        <v>44</v>
      </c>
      <c r="G477" s="26" t="s">
        <v>173</v>
      </c>
      <c r="H477" s="26" t="s">
        <v>22</v>
      </c>
      <c r="I477" s="26" t="s">
        <v>641</v>
      </c>
      <c r="J477" s="26" t="s">
        <v>16</v>
      </c>
      <c r="K477" s="27" t="s">
        <v>27</v>
      </c>
      <c r="L477" s="26">
        <f t="shared" ref="L477:M477" si="51">L485+L493</f>
        <v>424</v>
      </c>
      <c r="M477" s="26">
        <f t="shared" si="51"/>
        <v>291</v>
      </c>
      <c r="N477" s="82">
        <f t="shared" si="44"/>
        <v>68.632075471698116</v>
      </c>
      <c r="O477" s="26">
        <f t="shared" ref="O477:P477" si="52">O485+O493</f>
        <v>421</v>
      </c>
      <c r="P477" s="26">
        <f t="shared" si="52"/>
        <v>97</v>
      </c>
      <c r="Q477" s="82">
        <f t="shared" si="46"/>
        <v>23.040380047505938</v>
      </c>
      <c r="R477" s="31">
        <v>28</v>
      </c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</row>
    <row r="478" spans="1:233" s="46" customFormat="1" ht="15" customHeight="1">
      <c r="A478" s="73" t="s">
        <v>44</v>
      </c>
      <c r="B478" s="26" t="s">
        <v>10</v>
      </c>
      <c r="C478" s="26" t="s">
        <v>13</v>
      </c>
      <c r="D478" s="26" t="s">
        <v>610</v>
      </c>
      <c r="E478" s="26" t="s">
        <v>67</v>
      </c>
      <c r="F478" s="26" t="s">
        <v>44</v>
      </c>
      <c r="G478" s="26" t="s">
        <v>173</v>
      </c>
      <c r="H478" s="26" t="s">
        <v>22</v>
      </c>
      <c r="I478" s="26" t="s">
        <v>641</v>
      </c>
      <c r="J478" s="26" t="s">
        <v>16</v>
      </c>
      <c r="K478" s="27" t="s">
        <v>28</v>
      </c>
      <c r="L478" s="26">
        <f t="shared" ref="L478:M478" si="53">L486+L494</f>
        <v>473</v>
      </c>
      <c r="M478" s="26">
        <f t="shared" si="53"/>
        <v>342</v>
      </c>
      <c r="N478" s="82">
        <f t="shared" si="44"/>
        <v>72.304439746300218</v>
      </c>
      <c r="O478" s="26">
        <f t="shared" ref="O478:P478" si="54">O486+O494</f>
        <v>472</v>
      </c>
      <c r="P478" s="26">
        <f t="shared" si="54"/>
        <v>117</v>
      </c>
      <c r="Q478" s="82">
        <f t="shared" si="46"/>
        <v>24.788135593220339</v>
      </c>
      <c r="R478" s="31">
        <v>28</v>
      </c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</row>
    <row r="479" spans="1:233" s="46" customFormat="1" ht="15" customHeight="1">
      <c r="A479" s="73" t="s">
        <v>44</v>
      </c>
      <c r="B479" s="26" t="s">
        <v>10</v>
      </c>
      <c r="C479" s="26" t="s">
        <v>13</v>
      </c>
      <c r="D479" s="26" t="s">
        <v>610</v>
      </c>
      <c r="E479" s="26" t="s">
        <v>67</v>
      </c>
      <c r="F479" s="26" t="s">
        <v>44</v>
      </c>
      <c r="G479" s="26" t="s">
        <v>173</v>
      </c>
      <c r="H479" s="26" t="s">
        <v>22</v>
      </c>
      <c r="I479" s="26" t="s">
        <v>641</v>
      </c>
      <c r="J479" s="26" t="s">
        <v>16</v>
      </c>
      <c r="K479" s="27" t="s">
        <v>72</v>
      </c>
      <c r="L479" s="26">
        <f t="shared" ref="L479:M479" si="55">L487+L495</f>
        <v>424</v>
      </c>
      <c r="M479" s="26">
        <f t="shared" si="55"/>
        <v>306</v>
      </c>
      <c r="N479" s="82">
        <f t="shared" si="44"/>
        <v>72.169811320754718</v>
      </c>
      <c r="O479" s="26">
        <f t="shared" ref="O479:P479" si="56">O487+O495</f>
        <v>423</v>
      </c>
      <c r="P479" s="26">
        <f t="shared" si="56"/>
        <v>133</v>
      </c>
      <c r="Q479" s="82">
        <f t="shared" si="46"/>
        <v>31.442080378250591</v>
      </c>
      <c r="R479" s="31">
        <v>28</v>
      </c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</row>
    <row r="480" spans="1:233" s="46" customFormat="1" ht="15" customHeight="1">
      <c r="A480" s="73" t="s">
        <v>44</v>
      </c>
      <c r="B480" s="26" t="s">
        <v>10</v>
      </c>
      <c r="C480" s="26" t="s">
        <v>13</v>
      </c>
      <c r="D480" s="26" t="s">
        <v>610</v>
      </c>
      <c r="E480" s="26" t="s">
        <v>67</v>
      </c>
      <c r="F480" s="26" t="s">
        <v>44</v>
      </c>
      <c r="G480" s="26" t="s">
        <v>173</v>
      </c>
      <c r="H480" s="26" t="s">
        <v>22</v>
      </c>
      <c r="I480" s="26" t="s">
        <v>641</v>
      </c>
      <c r="J480" s="26" t="s">
        <v>16</v>
      </c>
      <c r="K480" s="27" t="s">
        <v>73</v>
      </c>
      <c r="L480" s="26">
        <f t="shared" ref="L480:M480" si="57">L488+L496</f>
        <v>439</v>
      </c>
      <c r="M480" s="26">
        <f t="shared" si="57"/>
        <v>325</v>
      </c>
      <c r="N480" s="82">
        <f t="shared" si="44"/>
        <v>74.031890660592254</v>
      </c>
      <c r="O480" s="26">
        <f t="shared" ref="O480:P480" si="58">O488+O496</f>
        <v>437</v>
      </c>
      <c r="P480" s="26">
        <f t="shared" si="58"/>
        <v>141</v>
      </c>
      <c r="Q480" s="82">
        <f t="shared" si="46"/>
        <v>32.265446224256294</v>
      </c>
      <c r="R480" s="31">
        <v>28</v>
      </c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</row>
    <row r="481" spans="1:233" s="46" customFormat="1" ht="15" customHeight="1">
      <c r="A481" s="73" t="s">
        <v>44</v>
      </c>
      <c r="B481" s="26" t="s">
        <v>10</v>
      </c>
      <c r="C481" s="26" t="s">
        <v>13</v>
      </c>
      <c r="D481" s="26" t="s">
        <v>610</v>
      </c>
      <c r="E481" s="26" t="s">
        <v>67</v>
      </c>
      <c r="F481" s="26" t="s">
        <v>44</v>
      </c>
      <c r="G481" s="26" t="s">
        <v>173</v>
      </c>
      <c r="H481" s="26" t="s">
        <v>22</v>
      </c>
      <c r="I481" s="26" t="s">
        <v>641</v>
      </c>
      <c r="J481" s="26" t="s">
        <v>23</v>
      </c>
      <c r="K481" s="27" t="s">
        <v>142</v>
      </c>
      <c r="L481" s="26">
        <f>SUM(L482:L488)</f>
        <v>1590</v>
      </c>
      <c r="M481" s="26">
        <f>SUM(M482:M488)</f>
        <v>923</v>
      </c>
      <c r="N481" s="82">
        <f>M481*100/L481</f>
        <v>58.050314465408803</v>
      </c>
      <c r="O481" s="26">
        <f>SUM(O482:O488)</f>
        <v>1366</v>
      </c>
      <c r="P481" s="26">
        <f>SUM(P482:P488)</f>
        <v>206</v>
      </c>
      <c r="Q481" s="21">
        <f>P481*100/O481</f>
        <v>15.080527086383603</v>
      </c>
      <c r="R481" s="31">
        <v>28</v>
      </c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</row>
    <row r="482" spans="1:233" s="46" customFormat="1" ht="15" customHeight="1">
      <c r="A482" s="73" t="s">
        <v>44</v>
      </c>
      <c r="B482" s="26" t="s">
        <v>10</v>
      </c>
      <c r="C482" s="26" t="s">
        <v>13</v>
      </c>
      <c r="D482" s="26" t="s">
        <v>610</v>
      </c>
      <c r="E482" s="26" t="s">
        <v>67</v>
      </c>
      <c r="F482" s="26" t="s">
        <v>44</v>
      </c>
      <c r="G482" s="26" t="s">
        <v>173</v>
      </c>
      <c r="H482" s="26" t="s">
        <v>22</v>
      </c>
      <c r="I482" s="26" t="s">
        <v>641</v>
      </c>
      <c r="J482" s="26" t="s">
        <v>23</v>
      </c>
      <c r="K482" s="27" t="s">
        <v>24</v>
      </c>
      <c r="L482" s="26">
        <v>363</v>
      </c>
      <c r="M482" s="28">
        <v>132</v>
      </c>
      <c r="N482" s="82">
        <v>36.36</v>
      </c>
      <c r="O482" s="28">
        <v>143</v>
      </c>
      <c r="P482" s="28">
        <v>2</v>
      </c>
      <c r="Q482" s="21">
        <v>1.4</v>
      </c>
      <c r="R482" s="31">
        <v>28</v>
      </c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</row>
    <row r="483" spans="1:233" s="46" customFormat="1" ht="15" customHeight="1">
      <c r="A483" s="73" t="s">
        <v>44</v>
      </c>
      <c r="B483" s="26" t="s">
        <v>10</v>
      </c>
      <c r="C483" s="26" t="s">
        <v>13</v>
      </c>
      <c r="D483" s="26" t="s">
        <v>610</v>
      </c>
      <c r="E483" s="26" t="s">
        <v>67</v>
      </c>
      <c r="F483" s="26" t="s">
        <v>44</v>
      </c>
      <c r="G483" s="26" t="s">
        <v>173</v>
      </c>
      <c r="H483" s="26" t="s">
        <v>22</v>
      </c>
      <c r="I483" s="26" t="s">
        <v>641</v>
      </c>
      <c r="J483" s="26" t="s">
        <v>23</v>
      </c>
      <c r="K483" s="27" t="s">
        <v>25</v>
      </c>
      <c r="L483" s="26">
        <v>187</v>
      </c>
      <c r="M483" s="28">
        <v>86</v>
      </c>
      <c r="N483" s="82">
        <v>45.99</v>
      </c>
      <c r="O483" s="28">
        <v>187</v>
      </c>
      <c r="P483" s="28">
        <v>16</v>
      </c>
      <c r="Q483" s="21">
        <v>8.56</v>
      </c>
      <c r="R483" s="31">
        <v>28</v>
      </c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</row>
    <row r="484" spans="1:233" s="46" customFormat="1" ht="15" customHeight="1">
      <c r="A484" s="73" t="s">
        <v>44</v>
      </c>
      <c r="B484" s="26" t="s">
        <v>10</v>
      </c>
      <c r="C484" s="26" t="s">
        <v>13</v>
      </c>
      <c r="D484" s="26" t="s">
        <v>610</v>
      </c>
      <c r="E484" s="26" t="s">
        <v>67</v>
      </c>
      <c r="F484" s="26" t="s">
        <v>44</v>
      </c>
      <c r="G484" s="26" t="s">
        <v>173</v>
      </c>
      <c r="H484" s="26" t="s">
        <v>22</v>
      </c>
      <c r="I484" s="26" t="s">
        <v>641</v>
      </c>
      <c r="J484" s="26" t="s">
        <v>23</v>
      </c>
      <c r="K484" s="27" t="s">
        <v>26</v>
      </c>
      <c r="L484" s="26">
        <v>199</v>
      </c>
      <c r="M484" s="28">
        <v>119</v>
      </c>
      <c r="N484" s="82">
        <v>59.8</v>
      </c>
      <c r="O484" s="28">
        <v>199</v>
      </c>
      <c r="P484" s="28">
        <v>22</v>
      </c>
      <c r="Q484" s="21">
        <v>11.06</v>
      </c>
      <c r="R484" s="31">
        <v>28</v>
      </c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</row>
    <row r="485" spans="1:233" s="46" customFormat="1" ht="15" customHeight="1">
      <c r="A485" s="73" t="s">
        <v>44</v>
      </c>
      <c r="B485" s="26" t="s">
        <v>10</v>
      </c>
      <c r="C485" s="26" t="s">
        <v>13</v>
      </c>
      <c r="D485" s="26" t="s">
        <v>610</v>
      </c>
      <c r="E485" s="26" t="s">
        <v>67</v>
      </c>
      <c r="F485" s="26" t="s">
        <v>44</v>
      </c>
      <c r="G485" s="26" t="s">
        <v>173</v>
      </c>
      <c r="H485" s="26" t="s">
        <v>22</v>
      </c>
      <c r="I485" s="26" t="s">
        <v>641</v>
      </c>
      <c r="J485" s="26" t="s">
        <v>23</v>
      </c>
      <c r="K485" s="27" t="s">
        <v>27</v>
      </c>
      <c r="L485" s="26">
        <v>199</v>
      </c>
      <c r="M485" s="28">
        <v>127</v>
      </c>
      <c r="N485" s="82">
        <v>63.82</v>
      </c>
      <c r="O485" s="28">
        <v>198</v>
      </c>
      <c r="P485" s="28">
        <v>26</v>
      </c>
      <c r="Q485" s="21">
        <v>13.13</v>
      </c>
      <c r="R485" s="31">
        <v>28</v>
      </c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</row>
    <row r="486" spans="1:233" s="46" customFormat="1" ht="15" customHeight="1">
      <c r="A486" s="73" t="s">
        <v>44</v>
      </c>
      <c r="B486" s="26" t="s">
        <v>10</v>
      </c>
      <c r="C486" s="26" t="s">
        <v>13</v>
      </c>
      <c r="D486" s="26" t="s">
        <v>610</v>
      </c>
      <c r="E486" s="26" t="s">
        <v>67</v>
      </c>
      <c r="F486" s="26" t="s">
        <v>44</v>
      </c>
      <c r="G486" s="26" t="s">
        <v>173</v>
      </c>
      <c r="H486" s="26" t="s">
        <v>22</v>
      </c>
      <c r="I486" s="26" t="s">
        <v>641</v>
      </c>
      <c r="J486" s="26" t="s">
        <v>23</v>
      </c>
      <c r="K486" s="27" t="s">
        <v>28</v>
      </c>
      <c r="L486" s="26">
        <v>234</v>
      </c>
      <c r="M486" s="28">
        <v>159</v>
      </c>
      <c r="N486" s="82">
        <v>67.95</v>
      </c>
      <c r="O486" s="28">
        <v>233</v>
      </c>
      <c r="P486" s="28">
        <v>48</v>
      </c>
      <c r="Q486" s="21">
        <v>20.6</v>
      </c>
      <c r="R486" s="31">
        <v>28</v>
      </c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</row>
    <row r="487" spans="1:233" s="46" customFormat="1" ht="15" customHeight="1">
      <c r="A487" s="73" t="s">
        <v>44</v>
      </c>
      <c r="B487" s="26" t="s">
        <v>10</v>
      </c>
      <c r="C487" s="26" t="s">
        <v>13</v>
      </c>
      <c r="D487" s="26" t="s">
        <v>610</v>
      </c>
      <c r="E487" s="26" t="s">
        <v>67</v>
      </c>
      <c r="F487" s="26" t="s">
        <v>44</v>
      </c>
      <c r="G487" s="26" t="s">
        <v>173</v>
      </c>
      <c r="H487" s="26" t="s">
        <v>22</v>
      </c>
      <c r="I487" s="26" t="s">
        <v>641</v>
      </c>
      <c r="J487" s="26" t="s">
        <v>23</v>
      </c>
      <c r="K487" s="27" t="s">
        <v>72</v>
      </c>
      <c r="L487" s="26">
        <v>201</v>
      </c>
      <c r="M487" s="28">
        <v>141</v>
      </c>
      <c r="N487" s="82">
        <v>70.150000000000006</v>
      </c>
      <c r="O487" s="28">
        <v>201</v>
      </c>
      <c r="P487" s="28">
        <v>50</v>
      </c>
      <c r="Q487" s="21">
        <v>24.88</v>
      </c>
      <c r="R487" s="31">
        <v>28</v>
      </c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</row>
    <row r="488" spans="1:233" s="46" customFormat="1" ht="15" customHeight="1">
      <c r="A488" s="73" t="s">
        <v>44</v>
      </c>
      <c r="B488" s="26" t="s">
        <v>10</v>
      </c>
      <c r="C488" s="26" t="s">
        <v>13</v>
      </c>
      <c r="D488" s="26" t="s">
        <v>610</v>
      </c>
      <c r="E488" s="26" t="s">
        <v>67</v>
      </c>
      <c r="F488" s="26" t="s">
        <v>44</v>
      </c>
      <c r="G488" s="26" t="s">
        <v>173</v>
      </c>
      <c r="H488" s="26" t="s">
        <v>22</v>
      </c>
      <c r="I488" s="26" t="s">
        <v>641</v>
      </c>
      <c r="J488" s="26" t="s">
        <v>23</v>
      </c>
      <c r="K488" s="27" t="s">
        <v>73</v>
      </c>
      <c r="L488" s="26">
        <v>207</v>
      </c>
      <c r="M488" s="28">
        <v>159</v>
      </c>
      <c r="N488" s="82">
        <v>76.81</v>
      </c>
      <c r="O488" s="28">
        <v>205</v>
      </c>
      <c r="P488" s="28">
        <v>42</v>
      </c>
      <c r="Q488" s="21">
        <v>20.49</v>
      </c>
      <c r="R488" s="31">
        <v>28</v>
      </c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</row>
    <row r="489" spans="1:233" s="46" customFormat="1" ht="15" customHeight="1">
      <c r="A489" s="73" t="s">
        <v>44</v>
      </c>
      <c r="B489" s="26" t="s">
        <v>10</v>
      </c>
      <c r="C489" s="26" t="s">
        <v>13</v>
      </c>
      <c r="D489" s="26" t="s">
        <v>610</v>
      </c>
      <c r="E489" s="26" t="s">
        <v>67</v>
      </c>
      <c r="F489" s="26" t="s">
        <v>44</v>
      </c>
      <c r="G489" s="26" t="s">
        <v>173</v>
      </c>
      <c r="H489" s="26" t="s">
        <v>22</v>
      </c>
      <c r="I489" s="26" t="s">
        <v>641</v>
      </c>
      <c r="J489" s="26" t="s">
        <v>11</v>
      </c>
      <c r="K489" s="27" t="s">
        <v>142</v>
      </c>
      <c r="L489" s="26">
        <f>SUM(L490:L496)</f>
        <v>1616</v>
      </c>
      <c r="M489" s="26">
        <f t="shared" ref="M489:P489" si="59">SUM(M490:M496)</f>
        <v>1052</v>
      </c>
      <c r="N489" s="82">
        <f>M489*100/L489</f>
        <v>65.099009900990097</v>
      </c>
      <c r="O489" s="26">
        <f t="shared" si="59"/>
        <v>1425</v>
      </c>
      <c r="P489" s="26">
        <f t="shared" si="59"/>
        <v>404</v>
      </c>
      <c r="Q489" s="82">
        <f>P489*100/O489</f>
        <v>28.350877192982455</v>
      </c>
      <c r="R489" s="31">
        <v>28</v>
      </c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</row>
    <row r="490" spans="1:233" s="46" customFormat="1" ht="15" customHeight="1">
      <c r="A490" s="73" t="s">
        <v>44</v>
      </c>
      <c r="B490" s="26" t="s">
        <v>10</v>
      </c>
      <c r="C490" s="26" t="s">
        <v>13</v>
      </c>
      <c r="D490" s="26" t="s">
        <v>610</v>
      </c>
      <c r="E490" s="26" t="s">
        <v>67</v>
      </c>
      <c r="F490" s="26" t="s">
        <v>44</v>
      </c>
      <c r="G490" s="26" t="s">
        <v>173</v>
      </c>
      <c r="H490" s="26" t="s">
        <v>22</v>
      </c>
      <c r="I490" s="26" t="s">
        <v>641</v>
      </c>
      <c r="J490" s="26" t="s">
        <v>11</v>
      </c>
      <c r="K490" s="27" t="s">
        <v>24</v>
      </c>
      <c r="L490" s="26">
        <v>297</v>
      </c>
      <c r="M490" s="28">
        <v>128</v>
      </c>
      <c r="N490" s="82">
        <f>M490*100/L490</f>
        <v>43.0976430976431</v>
      </c>
      <c r="O490" s="28">
        <v>110</v>
      </c>
      <c r="P490" s="28">
        <v>11</v>
      </c>
      <c r="Q490" s="21">
        <f>P490*100/O490</f>
        <v>10</v>
      </c>
      <c r="R490" s="31">
        <v>28</v>
      </c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</row>
    <row r="491" spans="1:233" s="46" customFormat="1" ht="15" customHeight="1">
      <c r="A491" s="73" t="s">
        <v>44</v>
      </c>
      <c r="B491" s="26" t="s">
        <v>10</v>
      </c>
      <c r="C491" s="26" t="s">
        <v>13</v>
      </c>
      <c r="D491" s="26" t="s">
        <v>610</v>
      </c>
      <c r="E491" s="26" t="s">
        <v>67</v>
      </c>
      <c r="F491" s="26" t="s">
        <v>44</v>
      </c>
      <c r="G491" s="26" t="s">
        <v>173</v>
      </c>
      <c r="H491" s="26" t="s">
        <v>22</v>
      </c>
      <c r="I491" s="26" t="s">
        <v>641</v>
      </c>
      <c r="J491" s="26" t="s">
        <v>11</v>
      </c>
      <c r="K491" s="27" t="s">
        <v>25</v>
      </c>
      <c r="L491" s="26">
        <v>212</v>
      </c>
      <c r="M491" s="28">
        <v>124</v>
      </c>
      <c r="N491" s="82">
        <f t="shared" ref="N491:N496" si="60">M491*100/L491</f>
        <v>58.490566037735846</v>
      </c>
      <c r="O491" s="28">
        <v>211</v>
      </c>
      <c r="P491" s="28">
        <v>29</v>
      </c>
      <c r="Q491" s="21">
        <f t="shared" ref="Q491:Q496" si="61">P491*100/O491</f>
        <v>13.744075829383887</v>
      </c>
      <c r="R491" s="31">
        <v>28</v>
      </c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</row>
    <row r="492" spans="1:233" s="46" customFormat="1" ht="15" customHeight="1">
      <c r="A492" s="73" t="s">
        <v>44</v>
      </c>
      <c r="B492" s="26" t="s">
        <v>10</v>
      </c>
      <c r="C492" s="26" t="s">
        <v>13</v>
      </c>
      <c r="D492" s="26" t="s">
        <v>610</v>
      </c>
      <c r="E492" s="26" t="s">
        <v>67</v>
      </c>
      <c r="F492" s="26" t="s">
        <v>44</v>
      </c>
      <c r="G492" s="26" t="s">
        <v>173</v>
      </c>
      <c r="H492" s="26" t="s">
        <v>22</v>
      </c>
      <c r="I492" s="26" t="s">
        <v>641</v>
      </c>
      <c r="J492" s="26" t="s">
        <v>11</v>
      </c>
      <c r="K492" s="27" t="s">
        <v>26</v>
      </c>
      <c r="L492" s="26">
        <v>188</v>
      </c>
      <c r="M492" s="28">
        <v>122</v>
      </c>
      <c r="N492" s="82">
        <f t="shared" si="60"/>
        <v>64.893617021276597</v>
      </c>
      <c r="O492" s="28">
        <v>188</v>
      </c>
      <c r="P492" s="28">
        <v>42</v>
      </c>
      <c r="Q492" s="21">
        <f t="shared" si="61"/>
        <v>22.340425531914892</v>
      </c>
      <c r="R492" s="31">
        <v>28</v>
      </c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</row>
    <row r="493" spans="1:233" s="46" customFormat="1" ht="15" customHeight="1">
      <c r="A493" s="73" t="s">
        <v>44</v>
      </c>
      <c r="B493" s="26" t="s">
        <v>10</v>
      </c>
      <c r="C493" s="26" t="s">
        <v>13</v>
      </c>
      <c r="D493" s="26" t="s">
        <v>610</v>
      </c>
      <c r="E493" s="26" t="s">
        <v>67</v>
      </c>
      <c r="F493" s="26" t="s">
        <v>44</v>
      </c>
      <c r="G493" s="26" t="s">
        <v>173</v>
      </c>
      <c r="H493" s="26" t="s">
        <v>22</v>
      </c>
      <c r="I493" s="26" t="s">
        <v>641</v>
      </c>
      <c r="J493" s="26" t="s">
        <v>11</v>
      </c>
      <c r="K493" s="27" t="s">
        <v>27</v>
      </c>
      <c r="L493" s="26">
        <v>225</v>
      </c>
      <c r="M493" s="28">
        <v>164</v>
      </c>
      <c r="N493" s="82">
        <f t="shared" si="60"/>
        <v>72.888888888888886</v>
      </c>
      <c r="O493" s="28">
        <v>223</v>
      </c>
      <c r="P493" s="28">
        <v>71</v>
      </c>
      <c r="Q493" s="21">
        <f t="shared" si="61"/>
        <v>31.838565022421523</v>
      </c>
      <c r="R493" s="31">
        <v>28</v>
      </c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</row>
    <row r="494" spans="1:233" s="46" customFormat="1" ht="15" customHeight="1">
      <c r="A494" s="73" t="s">
        <v>44</v>
      </c>
      <c r="B494" s="26" t="s">
        <v>10</v>
      </c>
      <c r="C494" s="26" t="s">
        <v>13</v>
      </c>
      <c r="D494" s="26" t="s">
        <v>610</v>
      </c>
      <c r="E494" s="26" t="s">
        <v>67</v>
      </c>
      <c r="F494" s="26" t="s">
        <v>44</v>
      </c>
      <c r="G494" s="26" t="s">
        <v>173</v>
      </c>
      <c r="H494" s="26" t="s">
        <v>22</v>
      </c>
      <c r="I494" s="26" t="s">
        <v>641</v>
      </c>
      <c r="J494" s="26" t="s">
        <v>11</v>
      </c>
      <c r="K494" s="27" t="s">
        <v>28</v>
      </c>
      <c r="L494" s="26">
        <v>239</v>
      </c>
      <c r="M494" s="28">
        <v>183</v>
      </c>
      <c r="N494" s="82">
        <f t="shared" si="60"/>
        <v>76.56903765690376</v>
      </c>
      <c r="O494" s="28">
        <v>239</v>
      </c>
      <c r="P494" s="28">
        <v>69</v>
      </c>
      <c r="Q494" s="21">
        <f t="shared" si="61"/>
        <v>28.87029288702929</v>
      </c>
      <c r="R494" s="31">
        <v>28</v>
      </c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</row>
    <row r="495" spans="1:233" s="46" customFormat="1" ht="15" customHeight="1">
      <c r="A495" s="73" t="s">
        <v>44</v>
      </c>
      <c r="B495" s="26" t="s">
        <v>10</v>
      </c>
      <c r="C495" s="26" t="s">
        <v>13</v>
      </c>
      <c r="D495" s="26" t="s">
        <v>610</v>
      </c>
      <c r="E495" s="26" t="s">
        <v>67</v>
      </c>
      <c r="F495" s="26" t="s">
        <v>44</v>
      </c>
      <c r="G495" s="26" t="s">
        <v>173</v>
      </c>
      <c r="H495" s="26" t="s">
        <v>22</v>
      </c>
      <c r="I495" s="26" t="s">
        <v>641</v>
      </c>
      <c r="J495" s="26" t="s">
        <v>11</v>
      </c>
      <c r="K495" s="27" t="s">
        <v>72</v>
      </c>
      <c r="L495" s="26">
        <v>223</v>
      </c>
      <c r="M495" s="28">
        <v>165</v>
      </c>
      <c r="N495" s="82">
        <f t="shared" si="60"/>
        <v>73.991031390134523</v>
      </c>
      <c r="O495" s="28">
        <v>222</v>
      </c>
      <c r="P495" s="28">
        <v>83</v>
      </c>
      <c r="Q495" s="21">
        <f t="shared" si="61"/>
        <v>37.387387387387385</v>
      </c>
      <c r="R495" s="31">
        <v>28</v>
      </c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</row>
    <row r="496" spans="1:233" s="46" customFormat="1" ht="15" customHeight="1">
      <c r="A496" s="73" t="s">
        <v>44</v>
      </c>
      <c r="B496" s="26" t="s">
        <v>10</v>
      </c>
      <c r="C496" s="26" t="s">
        <v>13</v>
      </c>
      <c r="D496" s="26" t="s">
        <v>610</v>
      </c>
      <c r="E496" s="26" t="s">
        <v>67</v>
      </c>
      <c r="F496" s="26" t="s">
        <v>44</v>
      </c>
      <c r="G496" s="26" t="s">
        <v>173</v>
      </c>
      <c r="H496" s="26" t="s">
        <v>22</v>
      </c>
      <c r="I496" s="26" t="s">
        <v>641</v>
      </c>
      <c r="J496" s="26" t="s">
        <v>11</v>
      </c>
      <c r="K496" s="27" t="s">
        <v>73</v>
      </c>
      <c r="L496" s="26">
        <v>232</v>
      </c>
      <c r="M496" s="28">
        <v>166</v>
      </c>
      <c r="N496" s="82">
        <f t="shared" si="60"/>
        <v>71.551724137931032</v>
      </c>
      <c r="O496" s="28">
        <v>232</v>
      </c>
      <c r="P496" s="28">
        <v>99</v>
      </c>
      <c r="Q496" s="21">
        <f t="shared" si="61"/>
        <v>42.672413793103445</v>
      </c>
      <c r="R496" s="31">
        <v>28</v>
      </c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</row>
    <row r="497" spans="1:233" s="46" customFormat="1" ht="15" customHeight="1">
      <c r="A497" s="73" t="s">
        <v>44</v>
      </c>
      <c r="B497" s="26" t="s">
        <v>10</v>
      </c>
      <c r="C497" s="26" t="s">
        <v>13</v>
      </c>
      <c r="D497" s="26" t="s">
        <v>610</v>
      </c>
      <c r="E497" s="26" t="s">
        <v>67</v>
      </c>
      <c r="F497" s="26" t="s">
        <v>44</v>
      </c>
      <c r="G497" s="26" t="s">
        <v>194</v>
      </c>
      <c r="H497" s="26" t="s">
        <v>22</v>
      </c>
      <c r="I497" s="26" t="s">
        <v>641</v>
      </c>
      <c r="J497" s="26" t="s">
        <v>16</v>
      </c>
      <c r="K497" s="27" t="s">
        <v>142</v>
      </c>
      <c r="L497" s="26">
        <f>L505+L513</f>
        <v>3657</v>
      </c>
      <c r="M497" s="26">
        <f>M505+M513</f>
        <v>2165</v>
      </c>
      <c r="N497" s="82">
        <f>M497*100/L497</f>
        <v>59.201531309816787</v>
      </c>
      <c r="O497" s="26">
        <f>O505+O513</f>
        <v>3186</v>
      </c>
      <c r="P497" s="26">
        <f>P505+P513</f>
        <v>636</v>
      </c>
      <c r="Q497" s="82">
        <f>P497*100/O497</f>
        <v>19.962335216572505</v>
      </c>
      <c r="R497" s="31">
        <v>28</v>
      </c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</row>
    <row r="498" spans="1:233" s="46" customFormat="1" ht="15" customHeight="1">
      <c r="A498" s="73" t="s">
        <v>44</v>
      </c>
      <c r="B498" s="26" t="s">
        <v>10</v>
      </c>
      <c r="C498" s="26" t="s">
        <v>13</v>
      </c>
      <c r="D498" s="26" t="s">
        <v>610</v>
      </c>
      <c r="E498" s="26" t="s">
        <v>67</v>
      </c>
      <c r="F498" s="26" t="s">
        <v>44</v>
      </c>
      <c r="G498" s="26" t="s">
        <v>194</v>
      </c>
      <c r="H498" s="26" t="s">
        <v>22</v>
      </c>
      <c r="I498" s="26" t="s">
        <v>641</v>
      </c>
      <c r="J498" s="26" t="s">
        <v>16</v>
      </c>
      <c r="K498" s="27" t="s">
        <v>24</v>
      </c>
      <c r="L498" s="26">
        <f t="shared" ref="L498:M498" si="62">L506+L514</f>
        <v>744</v>
      </c>
      <c r="M498" s="26">
        <f t="shared" si="62"/>
        <v>300</v>
      </c>
      <c r="N498" s="82">
        <f t="shared" ref="N498:N504" si="63">M498*100/L498</f>
        <v>40.322580645161288</v>
      </c>
      <c r="O498" s="26">
        <f t="shared" ref="O498:P498" si="64">O506+O514</f>
        <v>274</v>
      </c>
      <c r="P498" s="26">
        <f t="shared" si="64"/>
        <v>7</v>
      </c>
      <c r="Q498" s="82">
        <f t="shared" ref="Q498:Q504" si="65">P498*100/O498</f>
        <v>2.5547445255474455</v>
      </c>
      <c r="R498" s="31">
        <v>28</v>
      </c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</row>
    <row r="499" spans="1:233" s="46" customFormat="1" ht="15" customHeight="1">
      <c r="A499" s="73" t="s">
        <v>44</v>
      </c>
      <c r="B499" s="26" t="s">
        <v>10</v>
      </c>
      <c r="C499" s="26" t="s">
        <v>13</v>
      </c>
      <c r="D499" s="26" t="s">
        <v>610</v>
      </c>
      <c r="E499" s="26" t="s">
        <v>67</v>
      </c>
      <c r="F499" s="26" t="s">
        <v>44</v>
      </c>
      <c r="G499" s="26" t="s">
        <v>194</v>
      </c>
      <c r="H499" s="26" t="s">
        <v>22</v>
      </c>
      <c r="I499" s="26" t="s">
        <v>641</v>
      </c>
      <c r="J499" s="26" t="s">
        <v>16</v>
      </c>
      <c r="K499" s="27" t="s">
        <v>25</v>
      </c>
      <c r="L499" s="26">
        <f t="shared" ref="L499:M499" si="66">L507+L515</f>
        <v>497</v>
      </c>
      <c r="M499" s="26">
        <f t="shared" si="66"/>
        <v>241</v>
      </c>
      <c r="N499" s="82">
        <f t="shared" si="63"/>
        <v>48.490945674044262</v>
      </c>
      <c r="O499" s="26">
        <f t="shared" ref="O499:P499" si="67">O507+O515</f>
        <v>497</v>
      </c>
      <c r="P499" s="26">
        <f t="shared" si="67"/>
        <v>39</v>
      </c>
      <c r="Q499" s="82">
        <f t="shared" si="65"/>
        <v>7.8470824949698192</v>
      </c>
      <c r="R499" s="31">
        <v>28</v>
      </c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</row>
    <row r="500" spans="1:233" s="46" customFormat="1" ht="15" customHeight="1">
      <c r="A500" s="73" t="s">
        <v>44</v>
      </c>
      <c r="B500" s="26" t="s">
        <v>10</v>
      </c>
      <c r="C500" s="26" t="s">
        <v>13</v>
      </c>
      <c r="D500" s="26" t="s">
        <v>610</v>
      </c>
      <c r="E500" s="26" t="s">
        <v>67</v>
      </c>
      <c r="F500" s="26" t="s">
        <v>44</v>
      </c>
      <c r="G500" s="26" t="s">
        <v>194</v>
      </c>
      <c r="H500" s="26" t="s">
        <v>22</v>
      </c>
      <c r="I500" s="26" t="s">
        <v>641</v>
      </c>
      <c r="J500" s="26" t="s">
        <v>16</v>
      </c>
      <c r="K500" s="27" t="s">
        <v>26</v>
      </c>
      <c r="L500" s="26">
        <f t="shared" ref="L500:M500" si="68">L508+L516</f>
        <v>451</v>
      </c>
      <c r="M500" s="26">
        <f t="shared" si="68"/>
        <v>270</v>
      </c>
      <c r="N500" s="82">
        <f t="shared" si="63"/>
        <v>59.866962305986696</v>
      </c>
      <c r="O500" s="26">
        <f t="shared" ref="O500:P500" si="69">O508+O516</f>
        <v>451</v>
      </c>
      <c r="P500" s="26">
        <f t="shared" si="69"/>
        <v>67</v>
      </c>
      <c r="Q500" s="82">
        <f t="shared" si="65"/>
        <v>14.855875831485587</v>
      </c>
      <c r="R500" s="31">
        <v>28</v>
      </c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</row>
    <row r="501" spans="1:233" s="46" customFormat="1" ht="15" customHeight="1">
      <c r="A501" s="73" t="s">
        <v>44</v>
      </c>
      <c r="B501" s="26" t="s">
        <v>10</v>
      </c>
      <c r="C501" s="26" t="s">
        <v>13</v>
      </c>
      <c r="D501" s="26" t="s">
        <v>610</v>
      </c>
      <c r="E501" s="26" t="s">
        <v>67</v>
      </c>
      <c r="F501" s="26" t="s">
        <v>44</v>
      </c>
      <c r="G501" s="26" t="s">
        <v>194</v>
      </c>
      <c r="H501" s="26" t="s">
        <v>22</v>
      </c>
      <c r="I501" s="26" t="s">
        <v>641</v>
      </c>
      <c r="J501" s="26" t="s">
        <v>16</v>
      </c>
      <c r="K501" s="27" t="s">
        <v>27</v>
      </c>
      <c r="L501" s="26">
        <f t="shared" ref="L501:M501" si="70">L509+L517</f>
        <v>462</v>
      </c>
      <c r="M501" s="26">
        <f t="shared" si="70"/>
        <v>289</v>
      </c>
      <c r="N501" s="82">
        <f t="shared" si="63"/>
        <v>62.554112554112557</v>
      </c>
      <c r="O501" s="26">
        <f t="shared" ref="O501:P501" si="71">O509+O517</f>
        <v>462</v>
      </c>
      <c r="P501" s="26">
        <f t="shared" si="71"/>
        <v>97</v>
      </c>
      <c r="Q501" s="82">
        <f t="shared" si="65"/>
        <v>20.995670995670995</v>
      </c>
      <c r="R501" s="31">
        <v>28</v>
      </c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</row>
    <row r="502" spans="1:233" s="46" customFormat="1" ht="15" customHeight="1">
      <c r="A502" s="73" t="s">
        <v>44</v>
      </c>
      <c r="B502" s="26" t="s">
        <v>10</v>
      </c>
      <c r="C502" s="26" t="s">
        <v>13</v>
      </c>
      <c r="D502" s="26" t="s">
        <v>610</v>
      </c>
      <c r="E502" s="26" t="s">
        <v>67</v>
      </c>
      <c r="F502" s="26" t="s">
        <v>44</v>
      </c>
      <c r="G502" s="26" t="s">
        <v>194</v>
      </c>
      <c r="H502" s="26" t="s">
        <v>22</v>
      </c>
      <c r="I502" s="26" t="s">
        <v>641</v>
      </c>
      <c r="J502" s="26" t="s">
        <v>16</v>
      </c>
      <c r="K502" s="27" t="s">
        <v>28</v>
      </c>
      <c r="L502" s="26">
        <f t="shared" ref="L502:M502" si="72">L510+L518</f>
        <v>473</v>
      </c>
      <c r="M502" s="26">
        <f t="shared" si="72"/>
        <v>304</v>
      </c>
      <c r="N502" s="82">
        <f t="shared" si="63"/>
        <v>64.270613107822413</v>
      </c>
      <c r="O502" s="26">
        <f t="shared" ref="O502:P502" si="73">O510+O518</f>
        <v>471</v>
      </c>
      <c r="P502" s="26">
        <f t="shared" si="73"/>
        <v>115</v>
      </c>
      <c r="Q502" s="82">
        <f t="shared" si="65"/>
        <v>24.416135881104033</v>
      </c>
      <c r="R502" s="31">
        <v>28</v>
      </c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  <c r="HX502" s="45"/>
      <c r="HY502" s="45"/>
    </row>
    <row r="503" spans="1:233" s="46" customFormat="1" ht="15" customHeight="1">
      <c r="A503" s="73" t="s">
        <v>44</v>
      </c>
      <c r="B503" s="26" t="s">
        <v>10</v>
      </c>
      <c r="C503" s="26" t="s">
        <v>13</v>
      </c>
      <c r="D503" s="26" t="s">
        <v>610</v>
      </c>
      <c r="E503" s="26" t="s">
        <v>67</v>
      </c>
      <c r="F503" s="26" t="s">
        <v>44</v>
      </c>
      <c r="G503" s="26" t="s">
        <v>194</v>
      </c>
      <c r="H503" s="26" t="s">
        <v>22</v>
      </c>
      <c r="I503" s="26" t="s">
        <v>641</v>
      </c>
      <c r="J503" s="26" t="s">
        <v>16</v>
      </c>
      <c r="K503" s="27" t="s">
        <v>72</v>
      </c>
      <c r="L503" s="26">
        <f t="shared" ref="L503:M503" si="74">L511+L519</f>
        <v>525</v>
      </c>
      <c r="M503" s="26">
        <f t="shared" si="74"/>
        <v>388</v>
      </c>
      <c r="N503" s="82">
        <f t="shared" si="63"/>
        <v>73.904761904761898</v>
      </c>
      <c r="O503" s="26">
        <f t="shared" ref="O503:P503" si="75">O511+O519</f>
        <v>525</v>
      </c>
      <c r="P503" s="26">
        <f t="shared" si="75"/>
        <v>153</v>
      </c>
      <c r="Q503" s="82">
        <f t="shared" si="65"/>
        <v>29.142857142857142</v>
      </c>
      <c r="R503" s="31">
        <v>28</v>
      </c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</row>
    <row r="504" spans="1:233" s="46" customFormat="1" ht="15" customHeight="1">
      <c r="A504" s="73" t="s">
        <v>44</v>
      </c>
      <c r="B504" s="26" t="s">
        <v>10</v>
      </c>
      <c r="C504" s="26" t="s">
        <v>13</v>
      </c>
      <c r="D504" s="26" t="s">
        <v>610</v>
      </c>
      <c r="E504" s="26" t="s">
        <v>67</v>
      </c>
      <c r="F504" s="26" t="s">
        <v>44</v>
      </c>
      <c r="G504" s="26" t="s">
        <v>194</v>
      </c>
      <c r="H504" s="26" t="s">
        <v>22</v>
      </c>
      <c r="I504" s="26" t="s">
        <v>641</v>
      </c>
      <c r="J504" s="26" t="s">
        <v>16</v>
      </c>
      <c r="K504" s="27" t="s">
        <v>73</v>
      </c>
      <c r="L504" s="26">
        <f t="shared" ref="L504:M504" si="76">L512+L520</f>
        <v>505</v>
      </c>
      <c r="M504" s="26">
        <f t="shared" si="76"/>
        <v>373</v>
      </c>
      <c r="N504" s="82">
        <f t="shared" si="63"/>
        <v>73.861386138613867</v>
      </c>
      <c r="O504" s="26">
        <f t="shared" ref="O504:P504" si="77">O512+O520</f>
        <v>506</v>
      </c>
      <c r="P504" s="26">
        <f t="shared" si="77"/>
        <v>158</v>
      </c>
      <c r="Q504" s="82">
        <f t="shared" si="65"/>
        <v>31.225296442687746</v>
      </c>
      <c r="R504" s="31">
        <v>28</v>
      </c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  <c r="HX504" s="45"/>
      <c r="HY504" s="45"/>
    </row>
    <row r="505" spans="1:233" s="46" customFormat="1" ht="15" customHeight="1">
      <c r="A505" s="73" t="s">
        <v>44</v>
      </c>
      <c r="B505" s="26" t="s">
        <v>10</v>
      </c>
      <c r="C505" s="26" t="s">
        <v>13</v>
      </c>
      <c r="D505" s="26" t="s">
        <v>610</v>
      </c>
      <c r="E505" s="26" t="s">
        <v>67</v>
      </c>
      <c r="F505" s="26" t="s">
        <v>44</v>
      </c>
      <c r="G505" s="26" t="s">
        <v>194</v>
      </c>
      <c r="H505" s="26" t="s">
        <v>22</v>
      </c>
      <c r="I505" s="26" t="s">
        <v>641</v>
      </c>
      <c r="J505" s="26" t="s">
        <v>23</v>
      </c>
      <c r="K505" s="27" t="s">
        <v>142</v>
      </c>
      <c r="L505" s="26">
        <f>SUM(L506:L512)</f>
        <v>1767</v>
      </c>
      <c r="M505" s="26">
        <f t="shared" ref="M505" si="78">SUM(M506:M512)</f>
        <v>969</v>
      </c>
      <c r="N505" s="82">
        <f>M505*100/L505</f>
        <v>54.838709677419352</v>
      </c>
      <c r="O505" s="26">
        <f t="shared" ref="O505" si="79">SUM(O506:O512)</f>
        <v>1507</v>
      </c>
      <c r="P505" s="26">
        <f t="shared" ref="P505" si="80">SUM(P506:P512)</f>
        <v>218</v>
      </c>
      <c r="Q505" s="82">
        <f>P505*100/O505</f>
        <v>14.465826144658262</v>
      </c>
      <c r="R505" s="31">
        <v>28</v>
      </c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</row>
    <row r="506" spans="1:233" s="46" customFormat="1" ht="15" customHeight="1">
      <c r="A506" s="73" t="s">
        <v>44</v>
      </c>
      <c r="B506" s="26" t="s">
        <v>10</v>
      </c>
      <c r="C506" s="26" t="s">
        <v>13</v>
      </c>
      <c r="D506" s="26" t="s">
        <v>610</v>
      </c>
      <c r="E506" s="26" t="s">
        <v>67</v>
      </c>
      <c r="F506" s="26" t="s">
        <v>44</v>
      </c>
      <c r="G506" s="26" t="s">
        <v>194</v>
      </c>
      <c r="H506" s="26" t="s">
        <v>22</v>
      </c>
      <c r="I506" s="26" t="s">
        <v>641</v>
      </c>
      <c r="J506" s="26" t="s">
        <v>23</v>
      </c>
      <c r="K506" s="27" t="s">
        <v>24</v>
      </c>
      <c r="L506" s="26">
        <v>407</v>
      </c>
      <c r="M506" s="28">
        <v>152</v>
      </c>
      <c r="N506" s="82">
        <f>M506*100/L506</f>
        <v>37.346437346437348</v>
      </c>
      <c r="O506" s="28">
        <v>148</v>
      </c>
      <c r="P506" s="28">
        <v>1</v>
      </c>
      <c r="Q506" s="82">
        <f>P506*100/O506</f>
        <v>0.67567567567567566</v>
      </c>
      <c r="R506" s="31">
        <v>28</v>
      </c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</row>
    <row r="507" spans="1:233" s="46" customFormat="1" ht="15" customHeight="1">
      <c r="A507" s="73" t="s">
        <v>44</v>
      </c>
      <c r="B507" s="26" t="s">
        <v>10</v>
      </c>
      <c r="C507" s="26" t="s">
        <v>13</v>
      </c>
      <c r="D507" s="26" t="s">
        <v>610</v>
      </c>
      <c r="E507" s="26" t="s">
        <v>67</v>
      </c>
      <c r="F507" s="26" t="s">
        <v>44</v>
      </c>
      <c r="G507" s="26" t="s">
        <v>194</v>
      </c>
      <c r="H507" s="26" t="s">
        <v>22</v>
      </c>
      <c r="I507" s="26" t="s">
        <v>641</v>
      </c>
      <c r="J507" s="26" t="s">
        <v>23</v>
      </c>
      <c r="K507" s="27" t="s">
        <v>25</v>
      </c>
      <c r="L507" s="26">
        <v>236</v>
      </c>
      <c r="M507" s="28">
        <v>105</v>
      </c>
      <c r="N507" s="82">
        <f t="shared" ref="N507:N512" si="81">M507*100/L507</f>
        <v>44.491525423728817</v>
      </c>
      <c r="O507" s="28">
        <v>236</v>
      </c>
      <c r="P507" s="28">
        <v>6</v>
      </c>
      <c r="Q507" s="82">
        <f t="shared" ref="Q507:Q512" si="82">P507*100/O507</f>
        <v>2.5423728813559321</v>
      </c>
      <c r="R507" s="31">
        <v>28</v>
      </c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</row>
    <row r="508" spans="1:233" s="46" customFormat="1" ht="15" customHeight="1">
      <c r="A508" s="73" t="s">
        <v>44</v>
      </c>
      <c r="B508" s="26" t="s">
        <v>10</v>
      </c>
      <c r="C508" s="26" t="s">
        <v>13</v>
      </c>
      <c r="D508" s="26" t="s">
        <v>610</v>
      </c>
      <c r="E508" s="26" t="s">
        <v>67</v>
      </c>
      <c r="F508" s="26" t="s">
        <v>44</v>
      </c>
      <c r="G508" s="26" t="s">
        <v>194</v>
      </c>
      <c r="H508" s="26" t="s">
        <v>22</v>
      </c>
      <c r="I508" s="26" t="s">
        <v>641</v>
      </c>
      <c r="J508" s="26" t="s">
        <v>23</v>
      </c>
      <c r="K508" s="27" t="s">
        <v>26</v>
      </c>
      <c r="L508" s="26">
        <v>203</v>
      </c>
      <c r="M508" s="28">
        <v>109</v>
      </c>
      <c r="N508" s="82">
        <f t="shared" si="81"/>
        <v>53.694581280788178</v>
      </c>
      <c r="O508" s="28">
        <v>203</v>
      </c>
      <c r="P508" s="28">
        <v>22</v>
      </c>
      <c r="Q508" s="82">
        <f t="shared" si="82"/>
        <v>10.83743842364532</v>
      </c>
      <c r="R508" s="31">
        <v>28</v>
      </c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</row>
    <row r="509" spans="1:233" s="46" customFormat="1" ht="15" customHeight="1">
      <c r="A509" s="73" t="s">
        <v>44</v>
      </c>
      <c r="B509" s="26" t="s">
        <v>10</v>
      </c>
      <c r="C509" s="26" t="s">
        <v>13</v>
      </c>
      <c r="D509" s="26" t="s">
        <v>610</v>
      </c>
      <c r="E509" s="26" t="s">
        <v>67</v>
      </c>
      <c r="F509" s="26" t="s">
        <v>44</v>
      </c>
      <c r="G509" s="26" t="s">
        <v>194</v>
      </c>
      <c r="H509" s="26" t="s">
        <v>22</v>
      </c>
      <c r="I509" s="26" t="s">
        <v>641</v>
      </c>
      <c r="J509" s="26" t="s">
        <v>23</v>
      </c>
      <c r="K509" s="27" t="s">
        <v>27</v>
      </c>
      <c r="L509" s="26">
        <v>216</v>
      </c>
      <c r="M509" s="28">
        <v>119</v>
      </c>
      <c r="N509" s="82">
        <f t="shared" si="81"/>
        <v>55.092592592592595</v>
      </c>
      <c r="O509" s="28">
        <v>216</v>
      </c>
      <c r="P509" s="28">
        <v>35</v>
      </c>
      <c r="Q509" s="82">
        <f t="shared" si="82"/>
        <v>16.203703703703702</v>
      </c>
      <c r="R509" s="31">
        <v>28</v>
      </c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</row>
    <row r="510" spans="1:233" s="46" customFormat="1" ht="15" customHeight="1">
      <c r="A510" s="73" t="s">
        <v>44</v>
      </c>
      <c r="B510" s="26" t="s">
        <v>10</v>
      </c>
      <c r="C510" s="26" t="s">
        <v>13</v>
      </c>
      <c r="D510" s="26" t="s">
        <v>610</v>
      </c>
      <c r="E510" s="26" t="s">
        <v>67</v>
      </c>
      <c r="F510" s="26" t="s">
        <v>44</v>
      </c>
      <c r="G510" s="26" t="s">
        <v>194</v>
      </c>
      <c r="H510" s="26" t="s">
        <v>22</v>
      </c>
      <c r="I510" s="26" t="s">
        <v>641</v>
      </c>
      <c r="J510" s="26" t="s">
        <v>23</v>
      </c>
      <c r="K510" s="27" t="s">
        <v>28</v>
      </c>
      <c r="L510" s="26">
        <v>223</v>
      </c>
      <c r="M510" s="28">
        <v>139</v>
      </c>
      <c r="N510" s="82">
        <f t="shared" si="81"/>
        <v>62.331838565022423</v>
      </c>
      <c r="O510" s="28">
        <v>222</v>
      </c>
      <c r="P510" s="28">
        <v>35</v>
      </c>
      <c r="Q510" s="82">
        <f t="shared" si="82"/>
        <v>15.765765765765765</v>
      </c>
      <c r="R510" s="31">
        <v>28</v>
      </c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</row>
    <row r="511" spans="1:233" s="46" customFormat="1" ht="15" customHeight="1">
      <c r="A511" s="73" t="s">
        <v>44</v>
      </c>
      <c r="B511" s="26" t="s">
        <v>10</v>
      </c>
      <c r="C511" s="26" t="s">
        <v>13</v>
      </c>
      <c r="D511" s="26" t="s">
        <v>610</v>
      </c>
      <c r="E511" s="26" t="s">
        <v>67</v>
      </c>
      <c r="F511" s="26" t="s">
        <v>44</v>
      </c>
      <c r="G511" s="26" t="s">
        <v>194</v>
      </c>
      <c r="H511" s="26" t="s">
        <v>22</v>
      </c>
      <c r="I511" s="26" t="s">
        <v>641</v>
      </c>
      <c r="J511" s="26" t="s">
        <v>23</v>
      </c>
      <c r="K511" s="27" t="s">
        <v>72</v>
      </c>
      <c r="L511" s="26">
        <v>244</v>
      </c>
      <c r="M511" s="28">
        <v>174</v>
      </c>
      <c r="N511" s="82">
        <f t="shared" si="81"/>
        <v>71.311475409836063</v>
      </c>
      <c r="O511" s="28">
        <v>244</v>
      </c>
      <c r="P511" s="28">
        <v>62</v>
      </c>
      <c r="Q511" s="82">
        <f t="shared" si="82"/>
        <v>25.409836065573771</v>
      </c>
      <c r="R511" s="31">
        <v>28</v>
      </c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</row>
    <row r="512" spans="1:233" s="46" customFormat="1" ht="15" customHeight="1">
      <c r="A512" s="73" t="s">
        <v>44</v>
      </c>
      <c r="B512" s="26" t="s">
        <v>10</v>
      </c>
      <c r="C512" s="26" t="s">
        <v>13</v>
      </c>
      <c r="D512" s="26" t="s">
        <v>610</v>
      </c>
      <c r="E512" s="26" t="s">
        <v>67</v>
      </c>
      <c r="F512" s="26" t="s">
        <v>44</v>
      </c>
      <c r="G512" s="26" t="s">
        <v>194</v>
      </c>
      <c r="H512" s="26" t="s">
        <v>22</v>
      </c>
      <c r="I512" s="26" t="s">
        <v>641</v>
      </c>
      <c r="J512" s="26" t="s">
        <v>23</v>
      </c>
      <c r="K512" s="27" t="s">
        <v>73</v>
      </c>
      <c r="L512" s="26">
        <v>238</v>
      </c>
      <c r="M512" s="28">
        <v>171</v>
      </c>
      <c r="N512" s="82">
        <f t="shared" si="81"/>
        <v>71.848739495798313</v>
      </c>
      <c r="O512" s="28">
        <v>238</v>
      </c>
      <c r="P512" s="28">
        <v>57</v>
      </c>
      <c r="Q512" s="82">
        <f t="shared" si="82"/>
        <v>23.949579831932773</v>
      </c>
      <c r="R512" s="31">
        <v>28</v>
      </c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</row>
    <row r="513" spans="1:233" s="46" customFormat="1" ht="15" customHeight="1">
      <c r="A513" s="73" t="s">
        <v>44</v>
      </c>
      <c r="B513" s="26" t="s">
        <v>10</v>
      </c>
      <c r="C513" s="26" t="s">
        <v>13</v>
      </c>
      <c r="D513" s="26" t="s">
        <v>610</v>
      </c>
      <c r="E513" s="26" t="s">
        <v>67</v>
      </c>
      <c r="F513" s="26" t="s">
        <v>44</v>
      </c>
      <c r="G513" s="26" t="s">
        <v>194</v>
      </c>
      <c r="H513" s="26" t="s">
        <v>22</v>
      </c>
      <c r="I513" s="26" t="s">
        <v>641</v>
      </c>
      <c r="J513" s="26" t="s">
        <v>11</v>
      </c>
      <c r="K513" s="27" t="s">
        <v>142</v>
      </c>
      <c r="L513" s="26">
        <f>SUM(L514:L520)</f>
        <v>1890</v>
      </c>
      <c r="M513" s="26">
        <f t="shared" ref="M513" si="83">SUM(M514:M520)</f>
        <v>1196</v>
      </c>
      <c r="N513" s="82">
        <f>M513*100/L513</f>
        <v>63.280423280423278</v>
      </c>
      <c r="O513" s="26">
        <f t="shared" ref="O513" si="84">SUM(O514:O520)</f>
        <v>1679</v>
      </c>
      <c r="P513" s="26">
        <f t="shared" ref="P513" si="85">SUM(P514:P520)</f>
        <v>418</v>
      </c>
      <c r="Q513" s="82">
        <f>P513*100/O513</f>
        <v>24.895771292435974</v>
      </c>
      <c r="R513" s="31">
        <v>28</v>
      </c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</row>
    <row r="514" spans="1:233" s="46" customFormat="1" ht="15" customHeight="1">
      <c r="A514" s="73" t="s">
        <v>44</v>
      </c>
      <c r="B514" s="26" t="s">
        <v>10</v>
      </c>
      <c r="C514" s="26" t="s">
        <v>13</v>
      </c>
      <c r="D514" s="26" t="s">
        <v>610</v>
      </c>
      <c r="E514" s="26" t="s">
        <v>67</v>
      </c>
      <c r="F514" s="26" t="s">
        <v>44</v>
      </c>
      <c r="G514" s="26" t="s">
        <v>194</v>
      </c>
      <c r="H514" s="26" t="s">
        <v>22</v>
      </c>
      <c r="I514" s="26" t="s">
        <v>641</v>
      </c>
      <c r="J514" s="26" t="s">
        <v>11</v>
      </c>
      <c r="K514" s="27" t="s">
        <v>24</v>
      </c>
      <c r="L514" s="26">
        <v>337</v>
      </c>
      <c r="M514" s="28">
        <v>148</v>
      </c>
      <c r="N514" s="82">
        <f>M514*100/L514</f>
        <v>43.916913946587535</v>
      </c>
      <c r="O514" s="28">
        <v>126</v>
      </c>
      <c r="P514" s="28">
        <v>6</v>
      </c>
      <c r="Q514" s="82">
        <f>P514*100/O514</f>
        <v>4.7619047619047619</v>
      </c>
      <c r="R514" s="31">
        <v>28</v>
      </c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</row>
    <row r="515" spans="1:233" s="46" customFormat="1" ht="15" customHeight="1">
      <c r="A515" s="73" t="s">
        <v>44</v>
      </c>
      <c r="B515" s="26" t="s">
        <v>10</v>
      </c>
      <c r="C515" s="26" t="s">
        <v>13</v>
      </c>
      <c r="D515" s="26" t="s">
        <v>610</v>
      </c>
      <c r="E515" s="26" t="s">
        <v>67</v>
      </c>
      <c r="F515" s="26" t="s">
        <v>44</v>
      </c>
      <c r="G515" s="26" t="s">
        <v>194</v>
      </c>
      <c r="H515" s="26" t="s">
        <v>22</v>
      </c>
      <c r="I515" s="26" t="s">
        <v>641</v>
      </c>
      <c r="J515" s="26" t="s">
        <v>11</v>
      </c>
      <c r="K515" s="27" t="s">
        <v>25</v>
      </c>
      <c r="L515" s="26">
        <v>261</v>
      </c>
      <c r="M515" s="28">
        <v>136</v>
      </c>
      <c r="N515" s="82">
        <f t="shared" ref="N515:N520" si="86">M515*100/L515</f>
        <v>52.107279693486589</v>
      </c>
      <c r="O515" s="28">
        <v>261</v>
      </c>
      <c r="P515" s="28">
        <v>33</v>
      </c>
      <c r="Q515" s="82">
        <f t="shared" ref="Q515:Q520" si="87">P515*100/O515</f>
        <v>12.64367816091954</v>
      </c>
      <c r="R515" s="31">
        <v>28</v>
      </c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</row>
    <row r="516" spans="1:233" s="46" customFormat="1" ht="15" customHeight="1">
      <c r="A516" s="73" t="s">
        <v>44</v>
      </c>
      <c r="B516" s="26" t="s">
        <v>10</v>
      </c>
      <c r="C516" s="26" t="s">
        <v>13</v>
      </c>
      <c r="D516" s="26" t="s">
        <v>610</v>
      </c>
      <c r="E516" s="26" t="s">
        <v>67</v>
      </c>
      <c r="F516" s="26" t="s">
        <v>44</v>
      </c>
      <c r="G516" s="26" t="s">
        <v>194</v>
      </c>
      <c r="H516" s="26" t="s">
        <v>22</v>
      </c>
      <c r="I516" s="26" t="s">
        <v>641</v>
      </c>
      <c r="J516" s="26" t="s">
        <v>11</v>
      </c>
      <c r="K516" s="27" t="s">
        <v>26</v>
      </c>
      <c r="L516" s="26">
        <v>248</v>
      </c>
      <c r="M516" s="28">
        <v>161</v>
      </c>
      <c r="N516" s="82">
        <f t="shared" si="86"/>
        <v>64.91935483870968</v>
      </c>
      <c r="O516" s="28">
        <v>248</v>
      </c>
      <c r="P516" s="28">
        <v>45</v>
      </c>
      <c r="Q516" s="82">
        <f t="shared" si="87"/>
        <v>18.14516129032258</v>
      </c>
      <c r="R516" s="31">
        <v>28</v>
      </c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</row>
    <row r="517" spans="1:233" s="46" customFormat="1" ht="15" customHeight="1">
      <c r="A517" s="73" t="s">
        <v>44</v>
      </c>
      <c r="B517" s="26" t="s">
        <v>10</v>
      </c>
      <c r="C517" s="26" t="s">
        <v>13</v>
      </c>
      <c r="D517" s="26" t="s">
        <v>610</v>
      </c>
      <c r="E517" s="26" t="s">
        <v>67</v>
      </c>
      <c r="F517" s="26" t="s">
        <v>44</v>
      </c>
      <c r="G517" s="26" t="s">
        <v>194</v>
      </c>
      <c r="H517" s="26" t="s">
        <v>22</v>
      </c>
      <c r="I517" s="26" t="s">
        <v>641</v>
      </c>
      <c r="J517" s="26" t="s">
        <v>11</v>
      </c>
      <c r="K517" s="27" t="s">
        <v>27</v>
      </c>
      <c r="L517" s="26">
        <v>246</v>
      </c>
      <c r="M517" s="28">
        <v>170</v>
      </c>
      <c r="N517" s="82">
        <f t="shared" si="86"/>
        <v>69.105691056910572</v>
      </c>
      <c r="O517" s="28">
        <v>246</v>
      </c>
      <c r="P517" s="28">
        <v>62</v>
      </c>
      <c r="Q517" s="82">
        <f t="shared" si="87"/>
        <v>25.203252032520325</v>
      </c>
      <c r="R517" s="31">
        <v>28</v>
      </c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  <c r="HX517" s="45"/>
      <c r="HY517" s="45"/>
    </row>
    <row r="518" spans="1:233" s="46" customFormat="1" ht="15" customHeight="1">
      <c r="A518" s="73" t="s">
        <v>44</v>
      </c>
      <c r="B518" s="26" t="s">
        <v>10</v>
      </c>
      <c r="C518" s="26" t="s">
        <v>13</v>
      </c>
      <c r="D518" s="26" t="s">
        <v>610</v>
      </c>
      <c r="E518" s="26" t="s">
        <v>67</v>
      </c>
      <c r="F518" s="26" t="s">
        <v>44</v>
      </c>
      <c r="G518" s="26" t="s">
        <v>194</v>
      </c>
      <c r="H518" s="26" t="s">
        <v>22</v>
      </c>
      <c r="I518" s="26" t="s">
        <v>641</v>
      </c>
      <c r="J518" s="26" t="s">
        <v>11</v>
      </c>
      <c r="K518" s="27" t="s">
        <v>28</v>
      </c>
      <c r="L518" s="26">
        <v>250</v>
      </c>
      <c r="M518" s="28">
        <v>165</v>
      </c>
      <c r="N518" s="82">
        <f t="shared" si="86"/>
        <v>66</v>
      </c>
      <c r="O518" s="28">
        <v>249</v>
      </c>
      <c r="P518" s="28">
        <v>80</v>
      </c>
      <c r="Q518" s="82">
        <f t="shared" si="87"/>
        <v>32.128514056224901</v>
      </c>
      <c r="R518" s="31">
        <v>28</v>
      </c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</row>
    <row r="519" spans="1:233" s="46" customFormat="1" ht="15" customHeight="1">
      <c r="A519" s="73" t="s">
        <v>44</v>
      </c>
      <c r="B519" s="26" t="s">
        <v>10</v>
      </c>
      <c r="C519" s="26" t="s">
        <v>13</v>
      </c>
      <c r="D519" s="26" t="s">
        <v>610</v>
      </c>
      <c r="E519" s="26" t="s">
        <v>67</v>
      </c>
      <c r="F519" s="26" t="s">
        <v>44</v>
      </c>
      <c r="G519" s="26" t="s">
        <v>194</v>
      </c>
      <c r="H519" s="26" t="s">
        <v>22</v>
      </c>
      <c r="I519" s="26" t="s">
        <v>641</v>
      </c>
      <c r="J519" s="26" t="s">
        <v>11</v>
      </c>
      <c r="K519" s="27" t="s">
        <v>72</v>
      </c>
      <c r="L519" s="26">
        <v>281</v>
      </c>
      <c r="M519" s="28">
        <v>214</v>
      </c>
      <c r="N519" s="82">
        <f t="shared" si="86"/>
        <v>76.156583629893234</v>
      </c>
      <c r="O519" s="28">
        <v>281</v>
      </c>
      <c r="P519" s="28">
        <v>91</v>
      </c>
      <c r="Q519" s="82">
        <f t="shared" si="87"/>
        <v>32.384341637010678</v>
      </c>
      <c r="R519" s="31">
        <v>28</v>
      </c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</row>
    <row r="520" spans="1:233" s="46" customFormat="1" ht="15" customHeight="1">
      <c r="A520" s="73" t="s">
        <v>44</v>
      </c>
      <c r="B520" s="26" t="s">
        <v>10</v>
      </c>
      <c r="C520" s="26" t="s">
        <v>13</v>
      </c>
      <c r="D520" s="26" t="s">
        <v>610</v>
      </c>
      <c r="E520" s="26" t="s">
        <v>67</v>
      </c>
      <c r="F520" s="26" t="s">
        <v>44</v>
      </c>
      <c r="G520" s="26" t="s">
        <v>194</v>
      </c>
      <c r="H520" s="26" t="s">
        <v>22</v>
      </c>
      <c r="I520" s="26" t="s">
        <v>641</v>
      </c>
      <c r="J520" s="26" t="s">
        <v>11</v>
      </c>
      <c r="K520" s="27" t="s">
        <v>73</v>
      </c>
      <c r="L520" s="26">
        <v>267</v>
      </c>
      <c r="M520" s="28">
        <v>202</v>
      </c>
      <c r="N520" s="82">
        <f t="shared" si="86"/>
        <v>75.655430711610492</v>
      </c>
      <c r="O520" s="28">
        <v>268</v>
      </c>
      <c r="P520" s="28">
        <v>101</v>
      </c>
      <c r="Q520" s="82">
        <f t="shared" si="87"/>
        <v>37.686567164179102</v>
      </c>
      <c r="R520" s="31">
        <v>28</v>
      </c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</row>
    <row r="521" spans="1:233" s="46" customFormat="1" ht="15" customHeight="1">
      <c r="A521" s="73" t="s">
        <v>44</v>
      </c>
      <c r="B521" s="26" t="s">
        <v>10</v>
      </c>
      <c r="C521" s="26" t="s">
        <v>13</v>
      </c>
      <c r="D521" s="26" t="s">
        <v>610</v>
      </c>
      <c r="E521" s="26" t="s">
        <v>67</v>
      </c>
      <c r="F521" s="26" t="s">
        <v>44</v>
      </c>
      <c r="G521" s="26" t="s">
        <v>128</v>
      </c>
      <c r="H521" s="26" t="s">
        <v>22</v>
      </c>
      <c r="I521" s="26" t="s">
        <v>641</v>
      </c>
      <c r="J521" s="26" t="s">
        <v>16</v>
      </c>
      <c r="K521" s="27" t="s">
        <v>142</v>
      </c>
      <c r="L521" s="26">
        <f>L529+L537</f>
        <v>3187</v>
      </c>
      <c r="M521" s="26">
        <f>M529+M537</f>
        <v>1851</v>
      </c>
      <c r="N521" s="82">
        <f>M521*100/L521</f>
        <v>58.079698776278633</v>
      </c>
      <c r="O521" s="26">
        <f>O529+O537</f>
        <v>2801</v>
      </c>
      <c r="P521" s="26">
        <f>P529+P537</f>
        <v>531</v>
      </c>
      <c r="Q521" s="82">
        <f>P521*100/O521</f>
        <v>18.957515173152444</v>
      </c>
      <c r="R521" s="31">
        <v>28</v>
      </c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</row>
    <row r="522" spans="1:233" s="46" customFormat="1" ht="15" customHeight="1">
      <c r="A522" s="73" t="s">
        <v>44</v>
      </c>
      <c r="B522" s="26" t="s">
        <v>10</v>
      </c>
      <c r="C522" s="26" t="s">
        <v>13</v>
      </c>
      <c r="D522" s="26" t="s">
        <v>610</v>
      </c>
      <c r="E522" s="26" t="s">
        <v>67</v>
      </c>
      <c r="F522" s="26" t="s">
        <v>44</v>
      </c>
      <c r="G522" s="26" t="s">
        <v>128</v>
      </c>
      <c r="H522" s="26" t="s">
        <v>22</v>
      </c>
      <c r="I522" s="26" t="s">
        <v>641</v>
      </c>
      <c r="J522" s="26" t="s">
        <v>16</v>
      </c>
      <c r="K522" s="27" t="s">
        <v>24</v>
      </c>
      <c r="L522" s="26">
        <f t="shared" ref="L522:M522" si="88">L530+L538</f>
        <v>653</v>
      </c>
      <c r="M522" s="26">
        <f t="shared" si="88"/>
        <v>254</v>
      </c>
      <c r="N522" s="82">
        <f t="shared" ref="N522:N528" si="89">M522*100/L522</f>
        <v>38.897396630934153</v>
      </c>
      <c r="O522" s="26">
        <f t="shared" ref="O522:P522" si="90">O530+O538</f>
        <v>267</v>
      </c>
      <c r="P522" s="26">
        <f t="shared" si="90"/>
        <v>5</v>
      </c>
      <c r="Q522" s="82">
        <f t="shared" ref="Q522:Q528" si="91">P522*100/O522</f>
        <v>1.8726591760299625</v>
      </c>
      <c r="R522" s="31">
        <v>28</v>
      </c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</row>
    <row r="523" spans="1:233" s="46" customFormat="1" ht="15" customHeight="1">
      <c r="A523" s="73" t="s">
        <v>44</v>
      </c>
      <c r="B523" s="26" t="s">
        <v>10</v>
      </c>
      <c r="C523" s="26" t="s">
        <v>13</v>
      </c>
      <c r="D523" s="26" t="s">
        <v>610</v>
      </c>
      <c r="E523" s="26" t="s">
        <v>67</v>
      </c>
      <c r="F523" s="26" t="s">
        <v>44</v>
      </c>
      <c r="G523" s="26" t="s">
        <v>128</v>
      </c>
      <c r="H523" s="26" t="s">
        <v>22</v>
      </c>
      <c r="I523" s="26" t="s">
        <v>641</v>
      </c>
      <c r="J523" s="26" t="s">
        <v>16</v>
      </c>
      <c r="K523" s="27" t="s">
        <v>25</v>
      </c>
      <c r="L523" s="26">
        <f t="shared" ref="L523:M523" si="92">L531+L539</f>
        <v>479</v>
      </c>
      <c r="M523" s="26">
        <f t="shared" si="92"/>
        <v>227</v>
      </c>
      <c r="N523" s="82">
        <f t="shared" si="89"/>
        <v>47.390396659707726</v>
      </c>
      <c r="O523" s="26">
        <f t="shared" ref="O523:P523" si="93">O531+O539</f>
        <v>480</v>
      </c>
      <c r="P523" s="26">
        <f t="shared" si="93"/>
        <v>35</v>
      </c>
      <c r="Q523" s="82">
        <f t="shared" si="91"/>
        <v>7.291666666666667</v>
      </c>
      <c r="R523" s="31">
        <v>28</v>
      </c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</row>
    <row r="524" spans="1:233" s="46" customFormat="1" ht="15" customHeight="1">
      <c r="A524" s="73" t="s">
        <v>44</v>
      </c>
      <c r="B524" s="26" t="s">
        <v>10</v>
      </c>
      <c r="C524" s="26" t="s">
        <v>13</v>
      </c>
      <c r="D524" s="26" t="s">
        <v>610</v>
      </c>
      <c r="E524" s="26" t="s">
        <v>67</v>
      </c>
      <c r="F524" s="26" t="s">
        <v>44</v>
      </c>
      <c r="G524" s="26" t="s">
        <v>128</v>
      </c>
      <c r="H524" s="26" t="s">
        <v>22</v>
      </c>
      <c r="I524" s="26" t="s">
        <v>641</v>
      </c>
      <c r="J524" s="26" t="s">
        <v>16</v>
      </c>
      <c r="K524" s="27" t="s">
        <v>26</v>
      </c>
      <c r="L524" s="26">
        <f t="shared" ref="L524:M524" si="94">L532+L540</f>
        <v>393</v>
      </c>
      <c r="M524" s="26">
        <f t="shared" si="94"/>
        <v>211</v>
      </c>
      <c r="N524" s="82">
        <f t="shared" si="89"/>
        <v>53.689567430025448</v>
      </c>
      <c r="O524" s="26">
        <f t="shared" ref="O524:P524" si="95">O532+O540</f>
        <v>392</v>
      </c>
      <c r="P524" s="26">
        <f t="shared" si="95"/>
        <v>52</v>
      </c>
      <c r="Q524" s="82">
        <f t="shared" si="91"/>
        <v>13.26530612244898</v>
      </c>
      <c r="R524" s="31">
        <v>28</v>
      </c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</row>
    <row r="525" spans="1:233" s="46" customFormat="1" ht="15" customHeight="1">
      <c r="A525" s="73" t="s">
        <v>44</v>
      </c>
      <c r="B525" s="26" t="s">
        <v>10</v>
      </c>
      <c r="C525" s="26" t="s">
        <v>13</v>
      </c>
      <c r="D525" s="26" t="s">
        <v>610</v>
      </c>
      <c r="E525" s="26" t="s">
        <v>67</v>
      </c>
      <c r="F525" s="26" t="s">
        <v>44</v>
      </c>
      <c r="G525" s="26" t="s">
        <v>128</v>
      </c>
      <c r="H525" s="26" t="s">
        <v>22</v>
      </c>
      <c r="I525" s="26" t="s">
        <v>641</v>
      </c>
      <c r="J525" s="26" t="s">
        <v>16</v>
      </c>
      <c r="K525" s="27" t="s">
        <v>27</v>
      </c>
      <c r="L525" s="26">
        <f t="shared" ref="L525:M525" si="96">L533+L541</f>
        <v>439</v>
      </c>
      <c r="M525" s="26">
        <f t="shared" si="96"/>
        <v>260</v>
      </c>
      <c r="N525" s="82">
        <f t="shared" si="89"/>
        <v>59.225512528473807</v>
      </c>
      <c r="O525" s="26">
        <f t="shared" ref="O525:P525" si="97">O533+O541</f>
        <v>439</v>
      </c>
      <c r="P525" s="26">
        <f t="shared" si="97"/>
        <v>80</v>
      </c>
      <c r="Q525" s="82">
        <f t="shared" si="91"/>
        <v>18.223234624145785</v>
      </c>
      <c r="R525" s="31">
        <v>28</v>
      </c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</row>
    <row r="526" spans="1:233" s="46" customFormat="1" ht="15" customHeight="1">
      <c r="A526" s="73" t="s">
        <v>44</v>
      </c>
      <c r="B526" s="26" t="s">
        <v>10</v>
      </c>
      <c r="C526" s="26" t="s">
        <v>13</v>
      </c>
      <c r="D526" s="26" t="s">
        <v>610</v>
      </c>
      <c r="E526" s="26" t="s">
        <v>67</v>
      </c>
      <c r="F526" s="26" t="s">
        <v>44</v>
      </c>
      <c r="G526" s="26" t="s">
        <v>128</v>
      </c>
      <c r="H526" s="26" t="s">
        <v>22</v>
      </c>
      <c r="I526" s="26" t="s">
        <v>641</v>
      </c>
      <c r="J526" s="26" t="s">
        <v>16</v>
      </c>
      <c r="K526" s="27" t="s">
        <v>28</v>
      </c>
      <c r="L526" s="26">
        <f t="shared" ref="L526:M526" si="98">L534+L542</f>
        <v>421</v>
      </c>
      <c r="M526" s="26">
        <f t="shared" si="98"/>
        <v>285</v>
      </c>
      <c r="N526" s="82">
        <f t="shared" si="89"/>
        <v>67.695961995249405</v>
      </c>
      <c r="O526" s="26">
        <f t="shared" ref="O526:P526" si="99">O534+O542</f>
        <v>423</v>
      </c>
      <c r="P526" s="26">
        <f t="shared" si="99"/>
        <v>97</v>
      </c>
      <c r="Q526" s="82">
        <f t="shared" si="91"/>
        <v>22.93144208037825</v>
      </c>
      <c r="R526" s="31">
        <v>28</v>
      </c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  <c r="HX526" s="45"/>
      <c r="HY526" s="45"/>
    </row>
    <row r="527" spans="1:233" s="46" customFormat="1" ht="15" customHeight="1">
      <c r="A527" s="73" t="s">
        <v>44</v>
      </c>
      <c r="B527" s="26" t="s">
        <v>10</v>
      </c>
      <c r="C527" s="26" t="s">
        <v>13</v>
      </c>
      <c r="D527" s="26" t="s">
        <v>610</v>
      </c>
      <c r="E527" s="26" t="s">
        <v>67</v>
      </c>
      <c r="F527" s="26" t="s">
        <v>44</v>
      </c>
      <c r="G527" s="26" t="s">
        <v>128</v>
      </c>
      <c r="H527" s="26" t="s">
        <v>22</v>
      </c>
      <c r="I527" s="26" t="s">
        <v>641</v>
      </c>
      <c r="J527" s="26" t="s">
        <v>16</v>
      </c>
      <c r="K527" s="27" t="s">
        <v>72</v>
      </c>
      <c r="L527" s="26">
        <f t="shared" ref="L527:M527" si="100">L535+L543</f>
        <v>409</v>
      </c>
      <c r="M527" s="26">
        <f t="shared" si="100"/>
        <v>314</v>
      </c>
      <c r="N527" s="82">
        <f t="shared" si="89"/>
        <v>76.772616136919311</v>
      </c>
      <c r="O527" s="26">
        <f t="shared" ref="O527:P527" si="101">O535+O543</f>
        <v>408</v>
      </c>
      <c r="P527" s="26">
        <f t="shared" si="101"/>
        <v>126</v>
      </c>
      <c r="Q527" s="82">
        <f t="shared" si="91"/>
        <v>30.882352941176471</v>
      </c>
      <c r="R527" s="31">
        <v>28</v>
      </c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</row>
    <row r="528" spans="1:233" s="46" customFormat="1" ht="15" customHeight="1">
      <c r="A528" s="73" t="s">
        <v>44</v>
      </c>
      <c r="B528" s="26" t="s">
        <v>10</v>
      </c>
      <c r="C528" s="26" t="s">
        <v>13</v>
      </c>
      <c r="D528" s="26" t="s">
        <v>610</v>
      </c>
      <c r="E528" s="26" t="s">
        <v>67</v>
      </c>
      <c r="F528" s="26" t="s">
        <v>44</v>
      </c>
      <c r="G528" s="26" t="s">
        <v>128</v>
      </c>
      <c r="H528" s="26" t="s">
        <v>22</v>
      </c>
      <c r="I528" s="26" t="s">
        <v>641</v>
      </c>
      <c r="J528" s="26" t="s">
        <v>16</v>
      </c>
      <c r="K528" s="27" t="s">
        <v>73</v>
      </c>
      <c r="L528" s="26">
        <f t="shared" ref="L528:M528" si="102">L536+L544</f>
        <v>393</v>
      </c>
      <c r="M528" s="26">
        <f t="shared" si="102"/>
        <v>300</v>
      </c>
      <c r="N528" s="82">
        <f t="shared" si="89"/>
        <v>76.335877862595424</v>
      </c>
      <c r="O528" s="26">
        <f t="shared" ref="O528:P528" si="103">O536+O544</f>
        <v>392</v>
      </c>
      <c r="P528" s="26">
        <f t="shared" si="103"/>
        <v>136</v>
      </c>
      <c r="Q528" s="82">
        <f t="shared" si="91"/>
        <v>34.693877551020407</v>
      </c>
      <c r="R528" s="31">
        <v>28</v>
      </c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</row>
    <row r="529" spans="1:233" s="46" customFormat="1" ht="15" customHeight="1">
      <c r="A529" s="73" t="s">
        <v>44</v>
      </c>
      <c r="B529" s="26" t="s">
        <v>10</v>
      </c>
      <c r="C529" s="26" t="s">
        <v>13</v>
      </c>
      <c r="D529" s="26" t="s">
        <v>610</v>
      </c>
      <c r="E529" s="26" t="s">
        <v>67</v>
      </c>
      <c r="F529" s="26" t="s">
        <v>44</v>
      </c>
      <c r="G529" s="26" t="s">
        <v>128</v>
      </c>
      <c r="H529" s="26" t="s">
        <v>22</v>
      </c>
      <c r="I529" s="26" t="s">
        <v>641</v>
      </c>
      <c r="J529" s="26" t="s">
        <v>23</v>
      </c>
      <c r="K529" s="27" t="s">
        <v>142</v>
      </c>
      <c r="L529" s="26">
        <f>SUM(L530:L536)</f>
        <v>1587</v>
      </c>
      <c r="M529" s="26">
        <f t="shared" ref="M529" si="104">SUM(M530:M536)</f>
        <v>872</v>
      </c>
      <c r="N529" s="82">
        <f>M529*100/L529</f>
        <v>54.946439823566479</v>
      </c>
      <c r="O529" s="26">
        <f t="shared" ref="O529" si="105">SUM(O530:O536)</f>
        <v>1396</v>
      </c>
      <c r="P529" s="26">
        <f t="shared" ref="P529" si="106">SUM(P530:P536)</f>
        <v>183</v>
      </c>
      <c r="Q529" s="82">
        <f>P529*100/O529</f>
        <v>13.108882521489971</v>
      </c>
      <c r="R529" s="31">
        <v>28</v>
      </c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  <c r="HX529" s="45"/>
      <c r="HY529" s="45"/>
    </row>
    <row r="530" spans="1:233" s="46" customFormat="1" ht="15" customHeight="1">
      <c r="A530" s="73" t="s">
        <v>44</v>
      </c>
      <c r="B530" s="26" t="s">
        <v>10</v>
      </c>
      <c r="C530" s="26" t="s">
        <v>13</v>
      </c>
      <c r="D530" s="26" t="s">
        <v>610</v>
      </c>
      <c r="E530" s="26" t="s">
        <v>67</v>
      </c>
      <c r="F530" s="26" t="s">
        <v>44</v>
      </c>
      <c r="G530" s="26" t="s">
        <v>128</v>
      </c>
      <c r="H530" s="26" t="s">
        <v>22</v>
      </c>
      <c r="I530" s="26" t="s">
        <v>641</v>
      </c>
      <c r="J530" s="26" t="s">
        <v>23</v>
      </c>
      <c r="K530" s="27" t="s">
        <v>24</v>
      </c>
      <c r="L530" s="26">
        <v>327</v>
      </c>
      <c r="M530" s="28">
        <v>117</v>
      </c>
      <c r="N530" s="82">
        <f>M530*100/L530</f>
        <v>35.779816513761467</v>
      </c>
      <c r="O530" s="28">
        <v>135</v>
      </c>
      <c r="P530" s="28">
        <v>2</v>
      </c>
      <c r="Q530" s="82">
        <f>P530*100/O530</f>
        <v>1.4814814814814814</v>
      </c>
      <c r="R530" s="31">
        <v>28</v>
      </c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</row>
    <row r="531" spans="1:233" s="46" customFormat="1" ht="15" customHeight="1">
      <c r="A531" s="73" t="s">
        <v>44</v>
      </c>
      <c r="B531" s="26" t="s">
        <v>10</v>
      </c>
      <c r="C531" s="26" t="s">
        <v>13</v>
      </c>
      <c r="D531" s="26" t="s">
        <v>610</v>
      </c>
      <c r="E531" s="26" t="s">
        <v>67</v>
      </c>
      <c r="F531" s="26" t="s">
        <v>44</v>
      </c>
      <c r="G531" s="26" t="s">
        <v>128</v>
      </c>
      <c r="H531" s="26" t="s">
        <v>22</v>
      </c>
      <c r="I531" s="26" t="s">
        <v>641</v>
      </c>
      <c r="J531" s="26" t="s">
        <v>23</v>
      </c>
      <c r="K531" s="27" t="s">
        <v>25</v>
      </c>
      <c r="L531" s="26">
        <v>251</v>
      </c>
      <c r="M531" s="28">
        <v>109</v>
      </c>
      <c r="N531" s="82">
        <f t="shared" ref="N531:N536" si="107">M531*100/L531</f>
        <v>43.426294820717132</v>
      </c>
      <c r="O531" s="28">
        <v>251</v>
      </c>
      <c r="P531" s="28">
        <v>8</v>
      </c>
      <c r="Q531" s="82">
        <f t="shared" ref="Q531:Q536" si="108">P531*100/O531</f>
        <v>3.1872509960159361</v>
      </c>
      <c r="R531" s="31">
        <v>28</v>
      </c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  <c r="HX531" s="45"/>
      <c r="HY531" s="45"/>
    </row>
    <row r="532" spans="1:233" s="46" customFormat="1" ht="15" customHeight="1">
      <c r="A532" s="73" t="s">
        <v>44</v>
      </c>
      <c r="B532" s="26" t="s">
        <v>10</v>
      </c>
      <c r="C532" s="26" t="s">
        <v>13</v>
      </c>
      <c r="D532" s="26" t="s">
        <v>610</v>
      </c>
      <c r="E532" s="26" t="s">
        <v>67</v>
      </c>
      <c r="F532" s="26" t="s">
        <v>44</v>
      </c>
      <c r="G532" s="26" t="s">
        <v>128</v>
      </c>
      <c r="H532" s="26" t="s">
        <v>22</v>
      </c>
      <c r="I532" s="26" t="s">
        <v>641</v>
      </c>
      <c r="J532" s="26" t="s">
        <v>23</v>
      </c>
      <c r="K532" s="27" t="s">
        <v>26</v>
      </c>
      <c r="L532" s="26">
        <v>190</v>
      </c>
      <c r="M532" s="28">
        <v>98</v>
      </c>
      <c r="N532" s="82">
        <f t="shared" si="107"/>
        <v>51.578947368421055</v>
      </c>
      <c r="O532" s="28">
        <v>190</v>
      </c>
      <c r="P532" s="28">
        <v>17</v>
      </c>
      <c r="Q532" s="82">
        <f t="shared" si="108"/>
        <v>8.9473684210526319</v>
      </c>
      <c r="R532" s="31">
        <v>28</v>
      </c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</row>
    <row r="533" spans="1:233" s="46" customFormat="1" ht="15" customHeight="1">
      <c r="A533" s="73" t="s">
        <v>44</v>
      </c>
      <c r="B533" s="26" t="s">
        <v>10</v>
      </c>
      <c r="C533" s="26" t="s">
        <v>13</v>
      </c>
      <c r="D533" s="26" t="s">
        <v>610</v>
      </c>
      <c r="E533" s="26" t="s">
        <v>67</v>
      </c>
      <c r="F533" s="26" t="s">
        <v>44</v>
      </c>
      <c r="G533" s="26" t="s">
        <v>128</v>
      </c>
      <c r="H533" s="26" t="s">
        <v>22</v>
      </c>
      <c r="I533" s="26" t="s">
        <v>641</v>
      </c>
      <c r="J533" s="26" t="s">
        <v>23</v>
      </c>
      <c r="K533" s="27" t="s">
        <v>27</v>
      </c>
      <c r="L533" s="26">
        <v>220</v>
      </c>
      <c r="M533" s="28">
        <v>120</v>
      </c>
      <c r="N533" s="82">
        <f t="shared" si="107"/>
        <v>54.545454545454547</v>
      </c>
      <c r="O533" s="28">
        <v>221</v>
      </c>
      <c r="P533" s="28">
        <v>26</v>
      </c>
      <c r="Q533" s="82">
        <f t="shared" si="108"/>
        <v>11.764705882352942</v>
      </c>
      <c r="R533" s="31">
        <v>28</v>
      </c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</row>
    <row r="534" spans="1:233" s="46" customFormat="1" ht="15" customHeight="1">
      <c r="A534" s="73" t="s">
        <v>44</v>
      </c>
      <c r="B534" s="26" t="s">
        <v>10</v>
      </c>
      <c r="C534" s="26" t="s">
        <v>13</v>
      </c>
      <c r="D534" s="26" t="s">
        <v>610</v>
      </c>
      <c r="E534" s="26" t="s">
        <v>67</v>
      </c>
      <c r="F534" s="26" t="s">
        <v>44</v>
      </c>
      <c r="G534" s="26" t="s">
        <v>128</v>
      </c>
      <c r="H534" s="26" t="s">
        <v>22</v>
      </c>
      <c r="I534" s="26" t="s">
        <v>641</v>
      </c>
      <c r="J534" s="26" t="s">
        <v>23</v>
      </c>
      <c r="K534" s="27" t="s">
        <v>28</v>
      </c>
      <c r="L534" s="26">
        <v>211</v>
      </c>
      <c r="M534" s="28">
        <v>135</v>
      </c>
      <c r="N534" s="82">
        <f t="shared" si="107"/>
        <v>63.981042654028435</v>
      </c>
      <c r="O534" s="28">
        <v>211</v>
      </c>
      <c r="P534" s="28">
        <v>30</v>
      </c>
      <c r="Q534" s="82">
        <f t="shared" si="108"/>
        <v>14.218009478672986</v>
      </c>
      <c r="R534" s="31">
        <v>28</v>
      </c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</row>
    <row r="535" spans="1:233" s="46" customFormat="1" ht="15" customHeight="1">
      <c r="A535" s="73" t="s">
        <v>44</v>
      </c>
      <c r="B535" s="26" t="s">
        <v>10</v>
      </c>
      <c r="C535" s="26" t="s">
        <v>13</v>
      </c>
      <c r="D535" s="26" t="s">
        <v>610</v>
      </c>
      <c r="E535" s="26" t="s">
        <v>67</v>
      </c>
      <c r="F535" s="26" t="s">
        <v>44</v>
      </c>
      <c r="G535" s="26" t="s">
        <v>128</v>
      </c>
      <c r="H535" s="26" t="s">
        <v>22</v>
      </c>
      <c r="I535" s="26" t="s">
        <v>641</v>
      </c>
      <c r="J535" s="26" t="s">
        <v>23</v>
      </c>
      <c r="K535" s="27" t="s">
        <v>72</v>
      </c>
      <c r="L535" s="26">
        <v>198</v>
      </c>
      <c r="M535" s="28">
        <v>150</v>
      </c>
      <c r="N535" s="82">
        <f t="shared" si="107"/>
        <v>75.757575757575751</v>
      </c>
      <c r="O535" s="28">
        <v>198</v>
      </c>
      <c r="P535" s="28">
        <v>39</v>
      </c>
      <c r="Q535" s="82">
        <f t="shared" si="108"/>
        <v>19.696969696969695</v>
      </c>
      <c r="R535" s="31">
        <v>28</v>
      </c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</row>
    <row r="536" spans="1:233" s="46" customFormat="1" ht="15" customHeight="1">
      <c r="A536" s="73" t="s">
        <v>44</v>
      </c>
      <c r="B536" s="26" t="s">
        <v>10</v>
      </c>
      <c r="C536" s="26" t="s">
        <v>13</v>
      </c>
      <c r="D536" s="26" t="s">
        <v>610</v>
      </c>
      <c r="E536" s="26" t="s">
        <v>67</v>
      </c>
      <c r="F536" s="26" t="s">
        <v>44</v>
      </c>
      <c r="G536" s="26" t="s">
        <v>128</v>
      </c>
      <c r="H536" s="26" t="s">
        <v>22</v>
      </c>
      <c r="I536" s="26" t="s">
        <v>641</v>
      </c>
      <c r="J536" s="26" t="s">
        <v>23</v>
      </c>
      <c r="K536" s="27" t="s">
        <v>73</v>
      </c>
      <c r="L536" s="26">
        <v>190</v>
      </c>
      <c r="M536" s="28">
        <v>143</v>
      </c>
      <c r="N536" s="82">
        <f t="shared" si="107"/>
        <v>75.263157894736835</v>
      </c>
      <c r="O536" s="28">
        <v>190</v>
      </c>
      <c r="P536" s="28">
        <v>61</v>
      </c>
      <c r="Q536" s="82">
        <f t="shared" si="108"/>
        <v>32.10526315789474</v>
      </c>
      <c r="R536" s="31">
        <v>28</v>
      </c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</row>
    <row r="537" spans="1:233" s="46" customFormat="1" ht="15" customHeight="1">
      <c r="A537" s="73" t="s">
        <v>44</v>
      </c>
      <c r="B537" s="26" t="s">
        <v>10</v>
      </c>
      <c r="C537" s="26" t="s">
        <v>13</v>
      </c>
      <c r="D537" s="26" t="s">
        <v>610</v>
      </c>
      <c r="E537" s="26" t="s">
        <v>67</v>
      </c>
      <c r="F537" s="26" t="s">
        <v>44</v>
      </c>
      <c r="G537" s="26" t="s">
        <v>128</v>
      </c>
      <c r="H537" s="26" t="s">
        <v>22</v>
      </c>
      <c r="I537" s="26" t="s">
        <v>641</v>
      </c>
      <c r="J537" s="26" t="s">
        <v>11</v>
      </c>
      <c r="K537" s="27" t="s">
        <v>142</v>
      </c>
      <c r="L537" s="26">
        <f>SUM(L538:L544)</f>
        <v>1600</v>
      </c>
      <c r="M537" s="26">
        <f t="shared" ref="M537" si="109">SUM(M538:M544)</f>
        <v>979</v>
      </c>
      <c r="N537" s="82">
        <f>M537*100/L537</f>
        <v>61.1875</v>
      </c>
      <c r="O537" s="26">
        <f t="shared" ref="O537" si="110">SUM(O538:O544)</f>
        <v>1405</v>
      </c>
      <c r="P537" s="26">
        <f t="shared" ref="P537" si="111">SUM(P538:P544)</f>
        <v>348</v>
      </c>
      <c r="Q537" s="82">
        <f>P537*100/O537</f>
        <v>24.768683274021353</v>
      </c>
      <c r="R537" s="31">
        <v>28</v>
      </c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</row>
    <row r="538" spans="1:233" s="46" customFormat="1" ht="15" customHeight="1">
      <c r="A538" s="73" t="s">
        <v>44</v>
      </c>
      <c r="B538" s="26" t="s">
        <v>10</v>
      </c>
      <c r="C538" s="26" t="s">
        <v>13</v>
      </c>
      <c r="D538" s="26" t="s">
        <v>610</v>
      </c>
      <c r="E538" s="26" t="s">
        <v>67</v>
      </c>
      <c r="F538" s="26" t="s">
        <v>44</v>
      </c>
      <c r="G538" s="26" t="s">
        <v>128</v>
      </c>
      <c r="H538" s="26" t="s">
        <v>22</v>
      </c>
      <c r="I538" s="26" t="s">
        <v>641</v>
      </c>
      <c r="J538" s="26" t="s">
        <v>11</v>
      </c>
      <c r="K538" s="27" t="s">
        <v>24</v>
      </c>
      <c r="L538" s="26">
        <v>326</v>
      </c>
      <c r="M538" s="28">
        <v>137</v>
      </c>
      <c r="N538" s="82">
        <f>M538*100/L538</f>
        <v>42.024539877300612</v>
      </c>
      <c r="O538" s="28">
        <v>132</v>
      </c>
      <c r="P538" s="28">
        <v>3</v>
      </c>
      <c r="Q538" s="82">
        <f>P538*100/O538</f>
        <v>2.2727272727272729</v>
      </c>
      <c r="R538" s="31">
        <v>28</v>
      </c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</row>
    <row r="539" spans="1:233" s="46" customFormat="1" ht="15" customHeight="1">
      <c r="A539" s="73" t="s">
        <v>44</v>
      </c>
      <c r="B539" s="26" t="s">
        <v>10</v>
      </c>
      <c r="C539" s="26" t="s">
        <v>13</v>
      </c>
      <c r="D539" s="26" t="s">
        <v>610</v>
      </c>
      <c r="E539" s="26" t="s">
        <v>67</v>
      </c>
      <c r="F539" s="26" t="s">
        <v>44</v>
      </c>
      <c r="G539" s="26" t="s">
        <v>128</v>
      </c>
      <c r="H539" s="26" t="s">
        <v>22</v>
      </c>
      <c r="I539" s="26" t="s">
        <v>641</v>
      </c>
      <c r="J539" s="26" t="s">
        <v>11</v>
      </c>
      <c r="K539" s="27" t="s">
        <v>25</v>
      </c>
      <c r="L539" s="26">
        <v>228</v>
      </c>
      <c r="M539" s="28">
        <v>118</v>
      </c>
      <c r="N539" s="82">
        <f t="shared" ref="N539:N544" si="112">M539*100/L539</f>
        <v>51.754385964912281</v>
      </c>
      <c r="O539" s="28">
        <v>229</v>
      </c>
      <c r="P539" s="28">
        <v>27</v>
      </c>
      <c r="Q539" s="82">
        <f t="shared" ref="Q539:Q544" si="113">P539*100/O539</f>
        <v>11.790393013100436</v>
      </c>
      <c r="R539" s="31">
        <v>28</v>
      </c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</row>
    <row r="540" spans="1:233" s="46" customFormat="1" ht="15" customHeight="1">
      <c r="A540" s="73" t="s">
        <v>44</v>
      </c>
      <c r="B540" s="26" t="s">
        <v>10</v>
      </c>
      <c r="C540" s="26" t="s">
        <v>13</v>
      </c>
      <c r="D540" s="26" t="s">
        <v>610</v>
      </c>
      <c r="E540" s="26" t="s">
        <v>67</v>
      </c>
      <c r="F540" s="26" t="s">
        <v>44</v>
      </c>
      <c r="G540" s="26" t="s">
        <v>128</v>
      </c>
      <c r="H540" s="26" t="s">
        <v>22</v>
      </c>
      <c r="I540" s="26" t="s">
        <v>641</v>
      </c>
      <c r="J540" s="26" t="s">
        <v>11</v>
      </c>
      <c r="K540" s="27" t="s">
        <v>26</v>
      </c>
      <c r="L540" s="26">
        <v>203</v>
      </c>
      <c r="M540" s="28">
        <v>113</v>
      </c>
      <c r="N540" s="82">
        <f t="shared" si="112"/>
        <v>55.665024630541872</v>
      </c>
      <c r="O540" s="28">
        <v>202</v>
      </c>
      <c r="P540" s="28">
        <v>35</v>
      </c>
      <c r="Q540" s="82">
        <f t="shared" si="113"/>
        <v>17.326732673267326</v>
      </c>
      <c r="R540" s="31">
        <v>28</v>
      </c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</row>
    <row r="541" spans="1:233" s="46" customFormat="1" ht="15" customHeight="1">
      <c r="A541" s="73" t="s">
        <v>44</v>
      </c>
      <c r="B541" s="26" t="s">
        <v>10</v>
      </c>
      <c r="C541" s="26" t="s">
        <v>13</v>
      </c>
      <c r="D541" s="26" t="s">
        <v>610</v>
      </c>
      <c r="E541" s="26" t="s">
        <v>67</v>
      </c>
      <c r="F541" s="26" t="s">
        <v>44</v>
      </c>
      <c r="G541" s="26" t="s">
        <v>128</v>
      </c>
      <c r="H541" s="26" t="s">
        <v>22</v>
      </c>
      <c r="I541" s="26" t="s">
        <v>641</v>
      </c>
      <c r="J541" s="26" t="s">
        <v>11</v>
      </c>
      <c r="K541" s="27" t="s">
        <v>27</v>
      </c>
      <c r="L541" s="26">
        <v>219</v>
      </c>
      <c r="M541" s="28">
        <v>140</v>
      </c>
      <c r="N541" s="82">
        <f t="shared" si="112"/>
        <v>63.926940639269404</v>
      </c>
      <c r="O541" s="28">
        <v>218</v>
      </c>
      <c r="P541" s="28">
        <v>54</v>
      </c>
      <c r="Q541" s="82">
        <f t="shared" si="113"/>
        <v>24.770642201834864</v>
      </c>
      <c r="R541" s="31">
        <v>28</v>
      </c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</row>
    <row r="542" spans="1:233" s="46" customFormat="1" ht="15" customHeight="1">
      <c r="A542" s="73" t="s">
        <v>44</v>
      </c>
      <c r="B542" s="26" t="s">
        <v>10</v>
      </c>
      <c r="C542" s="26" t="s">
        <v>13</v>
      </c>
      <c r="D542" s="26" t="s">
        <v>610</v>
      </c>
      <c r="E542" s="26" t="s">
        <v>67</v>
      </c>
      <c r="F542" s="26" t="s">
        <v>44</v>
      </c>
      <c r="G542" s="26" t="s">
        <v>128</v>
      </c>
      <c r="H542" s="26" t="s">
        <v>22</v>
      </c>
      <c r="I542" s="26" t="s">
        <v>641</v>
      </c>
      <c r="J542" s="26" t="s">
        <v>11</v>
      </c>
      <c r="K542" s="27" t="s">
        <v>28</v>
      </c>
      <c r="L542" s="26">
        <v>210</v>
      </c>
      <c r="M542" s="28">
        <v>150</v>
      </c>
      <c r="N542" s="82">
        <f t="shared" si="112"/>
        <v>71.428571428571431</v>
      </c>
      <c r="O542" s="28">
        <v>212</v>
      </c>
      <c r="P542" s="28">
        <v>67</v>
      </c>
      <c r="Q542" s="82">
        <f t="shared" si="113"/>
        <v>31.60377358490566</v>
      </c>
      <c r="R542" s="31">
        <v>28</v>
      </c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</row>
    <row r="543" spans="1:233" s="46" customFormat="1" ht="15" customHeight="1">
      <c r="A543" s="73" t="s">
        <v>44</v>
      </c>
      <c r="B543" s="26" t="s">
        <v>10</v>
      </c>
      <c r="C543" s="26" t="s">
        <v>13</v>
      </c>
      <c r="D543" s="26" t="s">
        <v>610</v>
      </c>
      <c r="E543" s="26" t="s">
        <v>67</v>
      </c>
      <c r="F543" s="26" t="s">
        <v>44</v>
      </c>
      <c r="G543" s="26" t="s">
        <v>128</v>
      </c>
      <c r="H543" s="26" t="s">
        <v>22</v>
      </c>
      <c r="I543" s="26" t="s">
        <v>641</v>
      </c>
      <c r="J543" s="26" t="s">
        <v>11</v>
      </c>
      <c r="K543" s="27" t="s">
        <v>72</v>
      </c>
      <c r="L543" s="26">
        <v>211</v>
      </c>
      <c r="M543" s="28">
        <v>164</v>
      </c>
      <c r="N543" s="82">
        <f t="shared" si="112"/>
        <v>77.725118483412317</v>
      </c>
      <c r="O543" s="28">
        <v>210</v>
      </c>
      <c r="P543" s="28">
        <v>87</v>
      </c>
      <c r="Q543" s="82">
        <f t="shared" si="113"/>
        <v>41.428571428571431</v>
      </c>
      <c r="R543" s="31">
        <v>28</v>
      </c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</row>
    <row r="544" spans="1:233" s="46" customFormat="1" ht="15" customHeight="1">
      <c r="A544" s="73" t="s">
        <v>44</v>
      </c>
      <c r="B544" s="26" t="s">
        <v>10</v>
      </c>
      <c r="C544" s="26" t="s">
        <v>13</v>
      </c>
      <c r="D544" s="26" t="s">
        <v>610</v>
      </c>
      <c r="E544" s="26" t="s">
        <v>67</v>
      </c>
      <c r="F544" s="26" t="s">
        <v>44</v>
      </c>
      <c r="G544" s="26" t="s">
        <v>128</v>
      </c>
      <c r="H544" s="26" t="s">
        <v>22</v>
      </c>
      <c r="I544" s="26" t="s">
        <v>641</v>
      </c>
      <c r="J544" s="26" t="s">
        <v>11</v>
      </c>
      <c r="K544" s="27" t="s">
        <v>73</v>
      </c>
      <c r="L544" s="26">
        <v>203</v>
      </c>
      <c r="M544" s="28">
        <v>157</v>
      </c>
      <c r="N544" s="82">
        <f t="shared" si="112"/>
        <v>77.339901477832512</v>
      </c>
      <c r="O544" s="28">
        <v>202</v>
      </c>
      <c r="P544" s="28">
        <v>75</v>
      </c>
      <c r="Q544" s="82">
        <f t="shared" si="113"/>
        <v>37.128712871287128</v>
      </c>
      <c r="R544" s="31">
        <v>28</v>
      </c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</row>
    <row r="545" spans="1:233" s="46" customFormat="1" ht="15" customHeight="1">
      <c r="A545" s="73" t="s">
        <v>44</v>
      </c>
      <c r="B545" s="26" t="s">
        <v>10</v>
      </c>
      <c r="C545" s="26" t="s">
        <v>13</v>
      </c>
      <c r="D545" s="26" t="s">
        <v>610</v>
      </c>
      <c r="E545" s="26" t="s">
        <v>67</v>
      </c>
      <c r="F545" s="26" t="s">
        <v>44</v>
      </c>
      <c r="G545" s="26" t="s">
        <v>198</v>
      </c>
      <c r="H545" s="26" t="s">
        <v>22</v>
      </c>
      <c r="I545" s="26" t="s">
        <v>641</v>
      </c>
      <c r="J545" s="26" t="s">
        <v>16</v>
      </c>
      <c r="K545" s="27" t="s">
        <v>142</v>
      </c>
      <c r="L545" s="26">
        <f>L553+L561</f>
        <v>3491</v>
      </c>
      <c r="M545" s="26">
        <f>M553+M561</f>
        <v>1922</v>
      </c>
      <c r="N545" s="82">
        <f>M545*100/L545</f>
        <v>55.055857920366655</v>
      </c>
      <c r="O545" s="26">
        <f>O553+O561</f>
        <v>3027</v>
      </c>
      <c r="P545" s="26">
        <f>P553+P561</f>
        <v>497</v>
      </c>
      <c r="Q545" s="82">
        <f>P545*100/O545</f>
        <v>16.418896597291049</v>
      </c>
      <c r="R545" s="31">
        <v>28</v>
      </c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</row>
    <row r="546" spans="1:233" s="46" customFormat="1" ht="15" customHeight="1">
      <c r="A546" s="73" t="s">
        <v>44</v>
      </c>
      <c r="B546" s="26" t="s">
        <v>10</v>
      </c>
      <c r="C546" s="26" t="s">
        <v>13</v>
      </c>
      <c r="D546" s="26" t="s">
        <v>610</v>
      </c>
      <c r="E546" s="26" t="s">
        <v>67</v>
      </c>
      <c r="F546" s="26" t="s">
        <v>44</v>
      </c>
      <c r="G546" s="26" t="s">
        <v>198</v>
      </c>
      <c r="H546" s="26" t="s">
        <v>22</v>
      </c>
      <c r="I546" s="26" t="s">
        <v>641</v>
      </c>
      <c r="J546" s="26" t="s">
        <v>16</v>
      </c>
      <c r="K546" s="27" t="s">
        <v>24</v>
      </c>
      <c r="L546" s="26">
        <f t="shared" ref="L546:M546" si="114">L554+L562</f>
        <v>747</v>
      </c>
      <c r="M546" s="26">
        <f t="shared" si="114"/>
        <v>269</v>
      </c>
      <c r="N546" s="82">
        <f t="shared" ref="N546:N552" si="115">M546*100/L546</f>
        <v>36.010709504685408</v>
      </c>
      <c r="O546" s="26">
        <f t="shared" ref="O546:P546" si="116">O554+O562</f>
        <v>294</v>
      </c>
      <c r="P546" s="26">
        <f t="shared" si="116"/>
        <v>6</v>
      </c>
      <c r="Q546" s="82">
        <f t="shared" ref="Q546:Q552" si="117">P546*100/O546</f>
        <v>2.0408163265306123</v>
      </c>
      <c r="R546" s="31">
        <v>28</v>
      </c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</row>
    <row r="547" spans="1:233" s="46" customFormat="1" ht="15" customHeight="1">
      <c r="A547" s="73" t="s">
        <v>44</v>
      </c>
      <c r="B547" s="26" t="s">
        <v>10</v>
      </c>
      <c r="C547" s="26" t="s">
        <v>13</v>
      </c>
      <c r="D547" s="26" t="s">
        <v>610</v>
      </c>
      <c r="E547" s="26" t="s">
        <v>67</v>
      </c>
      <c r="F547" s="26" t="s">
        <v>44</v>
      </c>
      <c r="G547" s="26" t="s">
        <v>198</v>
      </c>
      <c r="H547" s="26" t="s">
        <v>22</v>
      </c>
      <c r="I547" s="26" t="s">
        <v>641</v>
      </c>
      <c r="J547" s="26" t="s">
        <v>16</v>
      </c>
      <c r="K547" s="27" t="s">
        <v>25</v>
      </c>
      <c r="L547" s="26">
        <f t="shared" ref="L547:M547" si="118">L555+L563</f>
        <v>464</v>
      </c>
      <c r="M547" s="26">
        <f t="shared" si="118"/>
        <v>201</v>
      </c>
      <c r="N547" s="82">
        <f t="shared" si="115"/>
        <v>43.318965517241381</v>
      </c>
      <c r="O547" s="26">
        <f t="shared" ref="O547:P547" si="119">O555+O563</f>
        <v>461</v>
      </c>
      <c r="P547" s="26">
        <f t="shared" si="119"/>
        <v>25</v>
      </c>
      <c r="Q547" s="82">
        <f t="shared" si="117"/>
        <v>5.4229934924078087</v>
      </c>
      <c r="R547" s="31">
        <v>28</v>
      </c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</row>
    <row r="548" spans="1:233" s="46" customFormat="1" ht="15" customHeight="1">
      <c r="A548" s="73" t="s">
        <v>44</v>
      </c>
      <c r="B548" s="26" t="s">
        <v>10</v>
      </c>
      <c r="C548" s="26" t="s">
        <v>13</v>
      </c>
      <c r="D548" s="26" t="s">
        <v>610</v>
      </c>
      <c r="E548" s="26" t="s">
        <v>67</v>
      </c>
      <c r="F548" s="26" t="s">
        <v>44</v>
      </c>
      <c r="G548" s="26" t="s">
        <v>198</v>
      </c>
      <c r="H548" s="26" t="s">
        <v>22</v>
      </c>
      <c r="I548" s="26" t="s">
        <v>641</v>
      </c>
      <c r="J548" s="26" t="s">
        <v>16</v>
      </c>
      <c r="K548" s="27" t="s">
        <v>26</v>
      </c>
      <c r="L548" s="26">
        <f t="shared" ref="L548:M548" si="120">L556+L564</f>
        <v>411</v>
      </c>
      <c r="M548" s="26">
        <f t="shared" si="120"/>
        <v>207</v>
      </c>
      <c r="N548" s="82">
        <f t="shared" si="115"/>
        <v>50.364963503649633</v>
      </c>
      <c r="O548" s="26">
        <f t="shared" ref="O548:P548" si="121">O556+O564</f>
        <v>408</v>
      </c>
      <c r="P548" s="26">
        <f t="shared" si="121"/>
        <v>53</v>
      </c>
      <c r="Q548" s="82">
        <f t="shared" si="117"/>
        <v>12.990196078431373</v>
      </c>
      <c r="R548" s="31">
        <v>28</v>
      </c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</row>
    <row r="549" spans="1:233" s="46" customFormat="1" ht="15" customHeight="1">
      <c r="A549" s="73" t="s">
        <v>44</v>
      </c>
      <c r="B549" s="26" t="s">
        <v>10</v>
      </c>
      <c r="C549" s="26" t="s">
        <v>13</v>
      </c>
      <c r="D549" s="26" t="s">
        <v>610</v>
      </c>
      <c r="E549" s="26" t="s">
        <v>67</v>
      </c>
      <c r="F549" s="26" t="s">
        <v>44</v>
      </c>
      <c r="G549" s="26" t="s">
        <v>198</v>
      </c>
      <c r="H549" s="26" t="s">
        <v>22</v>
      </c>
      <c r="I549" s="26" t="s">
        <v>641</v>
      </c>
      <c r="J549" s="26" t="s">
        <v>16</v>
      </c>
      <c r="K549" s="27" t="s">
        <v>27</v>
      </c>
      <c r="L549" s="26">
        <f t="shared" ref="L549:M549" si="122">L557+L565</f>
        <v>478</v>
      </c>
      <c r="M549" s="26">
        <f t="shared" si="122"/>
        <v>280</v>
      </c>
      <c r="N549" s="82">
        <f t="shared" si="115"/>
        <v>58.577405857740587</v>
      </c>
      <c r="O549" s="26">
        <f t="shared" ref="O549:P549" si="123">O557+O565</f>
        <v>478</v>
      </c>
      <c r="P549" s="26">
        <f t="shared" si="123"/>
        <v>80</v>
      </c>
      <c r="Q549" s="82">
        <f t="shared" si="117"/>
        <v>16.736401673640167</v>
      </c>
      <c r="R549" s="31">
        <v>28</v>
      </c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</row>
    <row r="550" spans="1:233" s="46" customFormat="1" ht="15" customHeight="1">
      <c r="A550" s="73" t="s">
        <v>44</v>
      </c>
      <c r="B550" s="26" t="s">
        <v>10</v>
      </c>
      <c r="C550" s="26" t="s">
        <v>13</v>
      </c>
      <c r="D550" s="26" t="s">
        <v>610</v>
      </c>
      <c r="E550" s="26" t="s">
        <v>67</v>
      </c>
      <c r="F550" s="26" t="s">
        <v>44</v>
      </c>
      <c r="G550" s="26" t="s">
        <v>198</v>
      </c>
      <c r="H550" s="26" t="s">
        <v>22</v>
      </c>
      <c r="I550" s="26" t="s">
        <v>641</v>
      </c>
      <c r="J550" s="26" t="s">
        <v>16</v>
      </c>
      <c r="K550" s="27" t="s">
        <v>28</v>
      </c>
      <c r="L550" s="26">
        <f t="shared" ref="L550:M550" si="124">L558+L566</f>
        <v>437</v>
      </c>
      <c r="M550" s="26">
        <f t="shared" si="124"/>
        <v>298</v>
      </c>
      <c r="N550" s="82">
        <f t="shared" si="115"/>
        <v>68.192219679633865</v>
      </c>
      <c r="O550" s="26">
        <f t="shared" ref="O550:P550" si="125">O558+O566</f>
        <v>436</v>
      </c>
      <c r="P550" s="26">
        <f t="shared" si="125"/>
        <v>94</v>
      </c>
      <c r="Q550" s="82">
        <f t="shared" si="117"/>
        <v>21.559633027522935</v>
      </c>
      <c r="R550" s="31">
        <v>28</v>
      </c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</row>
    <row r="551" spans="1:233" s="46" customFormat="1" ht="15" customHeight="1">
      <c r="A551" s="73" t="s">
        <v>44</v>
      </c>
      <c r="B551" s="26" t="s">
        <v>10</v>
      </c>
      <c r="C551" s="26" t="s">
        <v>13</v>
      </c>
      <c r="D551" s="26" t="s">
        <v>610</v>
      </c>
      <c r="E551" s="26" t="s">
        <v>67</v>
      </c>
      <c r="F551" s="26" t="s">
        <v>44</v>
      </c>
      <c r="G551" s="26" t="s">
        <v>198</v>
      </c>
      <c r="H551" s="26" t="s">
        <v>22</v>
      </c>
      <c r="I551" s="26" t="s">
        <v>641</v>
      </c>
      <c r="J551" s="26" t="s">
        <v>16</v>
      </c>
      <c r="K551" s="27" t="s">
        <v>72</v>
      </c>
      <c r="L551" s="26">
        <f t="shared" ref="L551:M551" si="126">L559+L567</f>
        <v>508</v>
      </c>
      <c r="M551" s="26">
        <f t="shared" si="126"/>
        <v>357</v>
      </c>
      <c r="N551" s="82">
        <f t="shared" si="115"/>
        <v>70.275590551181097</v>
      </c>
      <c r="O551" s="26">
        <f t="shared" ref="O551:P551" si="127">O559+O567</f>
        <v>508</v>
      </c>
      <c r="P551" s="26">
        <f t="shared" si="127"/>
        <v>119</v>
      </c>
      <c r="Q551" s="82">
        <f t="shared" si="117"/>
        <v>23.4251968503937</v>
      </c>
      <c r="R551" s="31">
        <v>28</v>
      </c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</row>
    <row r="552" spans="1:233" s="46" customFormat="1" ht="15" customHeight="1">
      <c r="A552" s="73" t="s">
        <v>44</v>
      </c>
      <c r="B552" s="26" t="s">
        <v>10</v>
      </c>
      <c r="C552" s="26" t="s">
        <v>13</v>
      </c>
      <c r="D552" s="26" t="s">
        <v>610</v>
      </c>
      <c r="E552" s="26" t="s">
        <v>67</v>
      </c>
      <c r="F552" s="26" t="s">
        <v>44</v>
      </c>
      <c r="G552" s="26" t="s">
        <v>198</v>
      </c>
      <c r="H552" s="26" t="s">
        <v>22</v>
      </c>
      <c r="I552" s="26" t="s">
        <v>641</v>
      </c>
      <c r="J552" s="26" t="s">
        <v>16</v>
      </c>
      <c r="K552" s="27" t="s">
        <v>73</v>
      </c>
      <c r="L552" s="26">
        <f t="shared" ref="L552:M552" si="128">L560+L568</f>
        <v>446</v>
      </c>
      <c r="M552" s="26">
        <f t="shared" si="128"/>
        <v>310</v>
      </c>
      <c r="N552" s="82">
        <f t="shared" si="115"/>
        <v>69.506726457399097</v>
      </c>
      <c r="O552" s="26">
        <f t="shared" ref="O552:P552" si="129">O560+O568</f>
        <v>442</v>
      </c>
      <c r="P552" s="26">
        <f t="shared" si="129"/>
        <v>120</v>
      </c>
      <c r="Q552" s="82">
        <f t="shared" si="117"/>
        <v>27.149321266968325</v>
      </c>
      <c r="R552" s="31">
        <v>28</v>
      </c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</row>
    <row r="553" spans="1:233" s="46" customFormat="1" ht="15" customHeight="1">
      <c r="A553" s="73" t="s">
        <v>44</v>
      </c>
      <c r="B553" s="26" t="s">
        <v>10</v>
      </c>
      <c r="C553" s="26" t="s">
        <v>13</v>
      </c>
      <c r="D553" s="26" t="s">
        <v>610</v>
      </c>
      <c r="E553" s="26" t="s">
        <v>67</v>
      </c>
      <c r="F553" s="26" t="s">
        <v>44</v>
      </c>
      <c r="G553" s="26" t="s">
        <v>198</v>
      </c>
      <c r="H553" s="26" t="s">
        <v>22</v>
      </c>
      <c r="I553" s="26" t="s">
        <v>641</v>
      </c>
      <c r="J553" s="26" t="s">
        <v>23</v>
      </c>
      <c r="K553" s="27" t="s">
        <v>142</v>
      </c>
      <c r="L553" s="26">
        <f>SUM(L554:L560)</f>
        <v>1676</v>
      </c>
      <c r="M553" s="26">
        <f t="shared" ref="M553" si="130">SUM(M554:M560)</f>
        <v>859</v>
      </c>
      <c r="N553" s="82">
        <f>M553*100/L553</f>
        <v>51.252983293556085</v>
      </c>
      <c r="O553" s="26">
        <f t="shared" ref="O553" si="131">SUM(O554:O560)</f>
        <v>1438</v>
      </c>
      <c r="P553" s="26">
        <f t="shared" ref="P553" si="132">SUM(P554:P560)</f>
        <v>154</v>
      </c>
      <c r="Q553" s="82">
        <f>P553*100/O553</f>
        <v>10.709318497913769</v>
      </c>
      <c r="R553" s="31">
        <v>28</v>
      </c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</row>
    <row r="554" spans="1:233" s="46" customFormat="1" ht="15" customHeight="1">
      <c r="A554" s="73" t="s">
        <v>44</v>
      </c>
      <c r="B554" s="26" t="s">
        <v>10</v>
      </c>
      <c r="C554" s="26" t="s">
        <v>13</v>
      </c>
      <c r="D554" s="26" t="s">
        <v>610</v>
      </c>
      <c r="E554" s="26" t="s">
        <v>67</v>
      </c>
      <c r="F554" s="26" t="s">
        <v>44</v>
      </c>
      <c r="G554" s="26" t="s">
        <v>198</v>
      </c>
      <c r="H554" s="26" t="s">
        <v>22</v>
      </c>
      <c r="I554" s="26" t="s">
        <v>641</v>
      </c>
      <c r="J554" s="26" t="s">
        <v>23</v>
      </c>
      <c r="K554" s="27" t="s">
        <v>24</v>
      </c>
      <c r="L554" s="26">
        <v>368</v>
      </c>
      <c r="M554" s="28">
        <v>119</v>
      </c>
      <c r="N554" s="82">
        <f>M554*100/L554</f>
        <v>32.336956521739133</v>
      </c>
      <c r="O554" s="28">
        <v>134</v>
      </c>
      <c r="P554" s="28">
        <v>0</v>
      </c>
      <c r="Q554" s="82">
        <f>P554*100/O554</f>
        <v>0</v>
      </c>
      <c r="R554" s="31">
        <v>28</v>
      </c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</row>
    <row r="555" spans="1:233" s="46" customFormat="1" ht="15" customHeight="1">
      <c r="A555" s="73" t="s">
        <v>44</v>
      </c>
      <c r="B555" s="26" t="s">
        <v>10</v>
      </c>
      <c r="C555" s="26" t="s">
        <v>13</v>
      </c>
      <c r="D555" s="26" t="s">
        <v>610</v>
      </c>
      <c r="E555" s="26" t="s">
        <v>67</v>
      </c>
      <c r="F555" s="26" t="s">
        <v>44</v>
      </c>
      <c r="G555" s="26" t="s">
        <v>198</v>
      </c>
      <c r="H555" s="26" t="s">
        <v>22</v>
      </c>
      <c r="I555" s="26" t="s">
        <v>641</v>
      </c>
      <c r="J555" s="26" t="s">
        <v>23</v>
      </c>
      <c r="K555" s="27" t="s">
        <v>25</v>
      </c>
      <c r="L555" s="26">
        <v>234</v>
      </c>
      <c r="M555" s="28">
        <v>94</v>
      </c>
      <c r="N555" s="82">
        <f t="shared" ref="N555:N560" si="133">M555*100/L555</f>
        <v>40.17094017094017</v>
      </c>
      <c r="O555" s="28">
        <v>233</v>
      </c>
      <c r="P555" s="28">
        <v>5</v>
      </c>
      <c r="Q555" s="82">
        <f t="shared" ref="Q555:Q560" si="134">P555*100/O555</f>
        <v>2.1459227467811157</v>
      </c>
      <c r="R555" s="31">
        <v>28</v>
      </c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</row>
    <row r="556" spans="1:233" s="46" customFormat="1" ht="15" customHeight="1">
      <c r="A556" s="73" t="s">
        <v>44</v>
      </c>
      <c r="B556" s="26" t="s">
        <v>10</v>
      </c>
      <c r="C556" s="26" t="s">
        <v>13</v>
      </c>
      <c r="D556" s="26" t="s">
        <v>610</v>
      </c>
      <c r="E556" s="26" t="s">
        <v>67</v>
      </c>
      <c r="F556" s="26" t="s">
        <v>44</v>
      </c>
      <c r="G556" s="26" t="s">
        <v>198</v>
      </c>
      <c r="H556" s="26" t="s">
        <v>22</v>
      </c>
      <c r="I556" s="26" t="s">
        <v>641</v>
      </c>
      <c r="J556" s="26" t="s">
        <v>23</v>
      </c>
      <c r="K556" s="27" t="s">
        <v>26</v>
      </c>
      <c r="L556" s="26">
        <v>200</v>
      </c>
      <c r="M556" s="28">
        <v>87</v>
      </c>
      <c r="N556" s="82">
        <f t="shared" si="133"/>
        <v>43.5</v>
      </c>
      <c r="O556" s="28">
        <v>200</v>
      </c>
      <c r="P556" s="28">
        <v>16</v>
      </c>
      <c r="Q556" s="82">
        <f t="shared" si="134"/>
        <v>8</v>
      </c>
      <c r="R556" s="31">
        <v>28</v>
      </c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</row>
    <row r="557" spans="1:233" s="46" customFormat="1" ht="15" customHeight="1">
      <c r="A557" s="73" t="s">
        <v>44</v>
      </c>
      <c r="B557" s="26" t="s">
        <v>10</v>
      </c>
      <c r="C557" s="26" t="s">
        <v>13</v>
      </c>
      <c r="D557" s="26" t="s">
        <v>610</v>
      </c>
      <c r="E557" s="26" t="s">
        <v>67</v>
      </c>
      <c r="F557" s="26" t="s">
        <v>44</v>
      </c>
      <c r="G557" s="26" t="s">
        <v>198</v>
      </c>
      <c r="H557" s="26" t="s">
        <v>22</v>
      </c>
      <c r="I557" s="26" t="s">
        <v>641</v>
      </c>
      <c r="J557" s="26" t="s">
        <v>23</v>
      </c>
      <c r="K557" s="27" t="s">
        <v>27</v>
      </c>
      <c r="L557" s="26">
        <v>240</v>
      </c>
      <c r="M557" s="28">
        <v>139</v>
      </c>
      <c r="N557" s="82">
        <f t="shared" si="133"/>
        <v>57.916666666666664</v>
      </c>
      <c r="O557" s="28">
        <v>240</v>
      </c>
      <c r="P557" s="28">
        <v>26</v>
      </c>
      <c r="Q557" s="82">
        <f t="shared" si="134"/>
        <v>10.833333333333334</v>
      </c>
      <c r="R557" s="31">
        <v>28</v>
      </c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</row>
    <row r="558" spans="1:233" s="46" customFormat="1" ht="15" customHeight="1">
      <c r="A558" s="73" t="s">
        <v>44</v>
      </c>
      <c r="B558" s="26" t="s">
        <v>10</v>
      </c>
      <c r="C558" s="26" t="s">
        <v>13</v>
      </c>
      <c r="D558" s="26" t="s">
        <v>610</v>
      </c>
      <c r="E558" s="26" t="s">
        <v>67</v>
      </c>
      <c r="F558" s="26" t="s">
        <v>44</v>
      </c>
      <c r="G558" s="26" t="s">
        <v>198</v>
      </c>
      <c r="H558" s="26" t="s">
        <v>22</v>
      </c>
      <c r="I558" s="26" t="s">
        <v>641</v>
      </c>
      <c r="J558" s="26" t="s">
        <v>23</v>
      </c>
      <c r="K558" s="27" t="s">
        <v>28</v>
      </c>
      <c r="L558" s="26">
        <v>195</v>
      </c>
      <c r="M558" s="28">
        <v>121</v>
      </c>
      <c r="N558" s="82">
        <f t="shared" si="133"/>
        <v>62.051282051282051</v>
      </c>
      <c r="O558" s="28">
        <v>195</v>
      </c>
      <c r="P558" s="28">
        <v>35</v>
      </c>
      <c r="Q558" s="82">
        <f t="shared" si="134"/>
        <v>17.948717948717949</v>
      </c>
      <c r="R558" s="31">
        <v>28</v>
      </c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</row>
    <row r="559" spans="1:233" s="46" customFormat="1" ht="15" customHeight="1">
      <c r="A559" s="73" t="s">
        <v>44</v>
      </c>
      <c r="B559" s="26" t="s">
        <v>10</v>
      </c>
      <c r="C559" s="26" t="s">
        <v>13</v>
      </c>
      <c r="D559" s="26" t="s">
        <v>610</v>
      </c>
      <c r="E559" s="26" t="s">
        <v>67</v>
      </c>
      <c r="F559" s="26" t="s">
        <v>44</v>
      </c>
      <c r="G559" s="26" t="s">
        <v>198</v>
      </c>
      <c r="H559" s="26" t="s">
        <v>22</v>
      </c>
      <c r="I559" s="26" t="s">
        <v>641</v>
      </c>
      <c r="J559" s="26" t="s">
        <v>23</v>
      </c>
      <c r="K559" s="27" t="s">
        <v>72</v>
      </c>
      <c r="L559" s="26">
        <v>226</v>
      </c>
      <c r="M559" s="28">
        <v>150</v>
      </c>
      <c r="N559" s="82">
        <f t="shared" si="133"/>
        <v>66.371681415929203</v>
      </c>
      <c r="O559" s="28">
        <v>226</v>
      </c>
      <c r="P559" s="28">
        <v>31</v>
      </c>
      <c r="Q559" s="82">
        <f t="shared" si="134"/>
        <v>13.716814159292035</v>
      </c>
      <c r="R559" s="31">
        <v>28</v>
      </c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</row>
    <row r="560" spans="1:233" s="46" customFormat="1" ht="15" customHeight="1">
      <c r="A560" s="73" t="s">
        <v>44</v>
      </c>
      <c r="B560" s="26" t="s">
        <v>10</v>
      </c>
      <c r="C560" s="26" t="s">
        <v>13</v>
      </c>
      <c r="D560" s="26" t="s">
        <v>610</v>
      </c>
      <c r="E560" s="26" t="s">
        <v>67</v>
      </c>
      <c r="F560" s="26" t="s">
        <v>44</v>
      </c>
      <c r="G560" s="26" t="s">
        <v>198</v>
      </c>
      <c r="H560" s="26" t="s">
        <v>22</v>
      </c>
      <c r="I560" s="26" t="s">
        <v>641</v>
      </c>
      <c r="J560" s="26" t="s">
        <v>23</v>
      </c>
      <c r="K560" s="27" t="s">
        <v>73</v>
      </c>
      <c r="L560" s="26">
        <v>213</v>
      </c>
      <c r="M560" s="28">
        <v>149</v>
      </c>
      <c r="N560" s="82">
        <f t="shared" si="133"/>
        <v>69.953051643192495</v>
      </c>
      <c r="O560" s="28">
        <v>210</v>
      </c>
      <c r="P560" s="28">
        <v>41</v>
      </c>
      <c r="Q560" s="82">
        <f t="shared" si="134"/>
        <v>19.523809523809526</v>
      </c>
      <c r="R560" s="31">
        <v>28</v>
      </c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</row>
    <row r="561" spans="1:233" s="46" customFormat="1" ht="15" customHeight="1">
      <c r="A561" s="73" t="s">
        <v>44</v>
      </c>
      <c r="B561" s="26" t="s">
        <v>10</v>
      </c>
      <c r="C561" s="26" t="s">
        <v>13</v>
      </c>
      <c r="D561" s="26" t="s">
        <v>610</v>
      </c>
      <c r="E561" s="26" t="s">
        <v>67</v>
      </c>
      <c r="F561" s="26" t="s">
        <v>44</v>
      </c>
      <c r="G561" s="26" t="s">
        <v>198</v>
      </c>
      <c r="H561" s="26" t="s">
        <v>22</v>
      </c>
      <c r="I561" s="26" t="s">
        <v>641</v>
      </c>
      <c r="J561" s="26" t="s">
        <v>11</v>
      </c>
      <c r="K561" s="27" t="s">
        <v>142</v>
      </c>
      <c r="L561" s="26">
        <f>SUM(L562:L568)</f>
        <v>1815</v>
      </c>
      <c r="M561" s="26">
        <f t="shared" ref="M561" si="135">SUM(M562:M568)</f>
        <v>1063</v>
      </c>
      <c r="N561" s="82">
        <f>M561*100/L561</f>
        <v>58.567493112947659</v>
      </c>
      <c r="O561" s="26">
        <f t="shared" ref="O561" si="136">SUM(O562:O568)</f>
        <v>1589</v>
      </c>
      <c r="P561" s="26">
        <f t="shared" ref="P561" si="137">SUM(P562:P568)</f>
        <v>343</v>
      </c>
      <c r="Q561" s="82">
        <f>P561*100/O561</f>
        <v>21.58590308370044</v>
      </c>
      <c r="R561" s="31">
        <v>28</v>
      </c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</row>
    <row r="562" spans="1:233" s="46" customFormat="1" ht="15" customHeight="1">
      <c r="A562" s="73" t="s">
        <v>44</v>
      </c>
      <c r="B562" s="26" t="s">
        <v>10</v>
      </c>
      <c r="C562" s="26" t="s">
        <v>13</v>
      </c>
      <c r="D562" s="26" t="s">
        <v>610</v>
      </c>
      <c r="E562" s="26" t="s">
        <v>67</v>
      </c>
      <c r="F562" s="26" t="s">
        <v>44</v>
      </c>
      <c r="G562" s="26" t="s">
        <v>198</v>
      </c>
      <c r="H562" s="26" t="s">
        <v>22</v>
      </c>
      <c r="I562" s="26" t="s">
        <v>641</v>
      </c>
      <c r="J562" s="26" t="s">
        <v>11</v>
      </c>
      <c r="K562" s="27" t="s">
        <v>24</v>
      </c>
      <c r="L562" s="26">
        <v>379</v>
      </c>
      <c r="M562" s="28">
        <v>150</v>
      </c>
      <c r="N562" s="82">
        <f>M562*100/L562</f>
        <v>39.577836411609496</v>
      </c>
      <c r="O562" s="28">
        <v>160</v>
      </c>
      <c r="P562" s="28">
        <v>6</v>
      </c>
      <c r="Q562" s="82">
        <f>P562*100/O562</f>
        <v>3.75</v>
      </c>
      <c r="R562" s="31">
        <v>28</v>
      </c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</row>
    <row r="563" spans="1:233" s="46" customFormat="1" ht="15" customHeight="1">
      <c r="A563" s="73" t="s">
        <v>44</v>
      </c>
      <c r="B563" s="26" t="s">
        <v>10</v>
      </c>
      <c r="C563" s="26" t="s">
        <v>13</v>
      </c>
      <c r="D563" s="26" t="s">
        <v>610</v>
      </c>
      <c r="E563" s="26" t="s">
        <v>67</v>
      </c>
      <c r="F563" s="26" t="s">
        <v>44</v>
      </c>
      <c r="G563" s="26" t="s">
        <v>198</v>
      </c>
      <c r="H563" s="26" t="s">
        <v>22</v>
      </c>
      <c r="I563" s="26" t="s">
        <v>641</v>
      </c>
      <c r="J563" s="26" t="s">
        <v>11</v>
      </c>
      <c r="K563" s="27" t="s">
        <v>25</v>
      </c>
      <c r="L563" s="26">
        <v>230</v>
      </c>
      <c r="M563" s="28">
        <v>107</v>
      </c>
      <c r="N563" s="82">
        <f t="shared" ref="N563:N568" si="138">M563*100/L563</f>
        <v>46.521739130434781</v>
      </c>
      <c r="O563" s="28">
        <v>228</v>
      </c>
      <c r="P563" s="28">
        <v>20</v>
      </c>
      <c r="Q563" s="82">
        <f t="shared" ref="Q563:Q568" si="139">P563*100/O563</f>
        <v>8.7719298245614041</v>
      </c>
      <c r="R563" s="31">
        <v>28</v>
      </c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</row>
    <row r="564" spans="1:233" s="46" customFormat="1" ht="15" customHeight="1">
      <c r="A564" s="73" t="s">
        <v>44</v>
      </c>
      <c r="B564" s="26" t="s">
        <v>10</v>
      </c>
      <c r="C564" s="26" t="s">
        <v>13</v>
      </c>
      <c r="D564" s="26" t="s">
        <v>610</v>
      </c>
      <c r="E564" s="26" t="s">
        <v>67</v>
      </c>
      <c r="F564" s="26" t="s">
        <v>44</v>
      </c>
      <c r="G564" s="26" t="s">
        <v>198</v>
      </c>
      <c r="H564" s="26" t="s">
        <v>22</v>
      </c>
      <c r="I564" s="26" t="s">
        <v>641</v>
      </c>
      <c r="J564" s="26" t="s">
        <v>11</v>
      </c>
      <c r="K564" s="27" t="s">
        <v>26</v>
      </c>
      <c r="L564" s="26">
        <v>211</v>
      </c>
      <c r="M564" s="28">
        <v>120</v>
      </c>
      <c r="N564" s="82">
        <f t="shared" si="138"/>
        <v>56.872037914691944</v>
      </c>
      <c r="O564" s="28">
        <v>208</v>
      </c>
      <c r="P564" s="28">
        <v>37</v>
      </c>
      <c r="Q564" s="82">
        <f t="shared" si="139"/>
        <v>17.78846153846154</v>
      </c>
      <c r="R564" s="31">
        <v>28</v>
      </c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</row>
    <row r="565" spans="1:233" s="46" customFormat="1" ht="15" customHeight="1">
      <c r="A565" s="73" t="s">
        <v>44</v>
      </c>
      <c r="B565" s="26" t="s">
        <v>10</v>
      </c>
      <c r="C565" s="26" t="s">
        <v>13</v>
      </c>
      <c r="D565" s="26" t="s">
        <v>610</v>
      </c>
      <c r="E565" s="26" t="s">
        <v>67</v>
      </c>
      <c r="F565" s="26" t="s">
        <v>44</v>
      </c>
      <c r="G565" s="26" t="s">
        <v>198</v>
      </c>
      <c r="H565" s="26" t="s">
        <v>22</v>
      </c>
      <c r="I565" s="26" t="s">
        <v>641</v>
      </c>
      <c r="J565" s="26" t="s">
        <v>11</v>
      </c>
      <c r="K565" s="27" t="s">
        <v>27</v>
      </c>
      <c r="L565" s="26">
        <v>238</v>
      </c>
      <c r="M565" s="28">
        <v>141</v>
      </c>
      <c r="N565" s="82">
        <f t="shared" si="138"/>
        <v>59.243697478991599</v>
      </c>
      <c r="O565" s="28">
        <v>238</v>
      </c>
      <c r="P565" s="28">
        <v>54</v>
      </c>
      <c r="Q565" s="82">
        <f t="shared" si="139"/>
        <v>22.689075630252102</v>
      </c>
      <c r="R565" s="31">
        <v>28</v>
      </c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</row>
    <row r="566" spans="1:233" s="46" customFormat="1" ht="15" customHeight="1">
      <c r="A566" s="73" t="s">
        <v>44</v>
      </c>
      <c r="B566" s="26" t="s">
        <v>10</v>
      </c>
      <c r="C566" s="26" t="s">
        <v>13</v>
      </c>
      <c r="D566" s="26" t="s">
        <v>610</v>
      </c>
      <c r="E566" s="26" t="s">
        <v>67</v>
      </c>
      <c r="F566" s="26" t="s">
        <v>44</v>
      </c>
      <c r="G566" s="26" t="s">
        <v>198</v>
      </c>
      <c r="H566" s="26" t="s">
        <v>22</v>
      </c>
      <c r="I566" s="26" t="s">
        <v>641</v>
      </c>
      <c r="J566" s="26" t="s">
        <v>11</v>
      </c>
      <c r="K566" s="27" t="s">
        <v>28</v>
      </c>
      <c r="L566" s="26">
        <v>242</v>
      </c>
      <c r="M566" s="28">
        <v>177</v>
      </c>
      <c r="N566" s="82">
        <f t="shared" si="138"/>
        <v>73.140495867768593</v>
      </c>
      <c r="O566" s="28">
        <v>241</v>
      </c>
      <c r="P566" s="28">
        <v>59</v>
      </c>
      <c r="Q566" s="82">
        <f t="shared" si="139"/>
        <v>24.481327800829874</v>
      </c>
      <c r="R566" s="31">
        <v>28</v>
      </c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</row>
    <row r="567" spans="1:233" s="46" customFormat="1" ht="15" customHeight="1">
      <c r="A567" s="73" t="s">
        <v>44</v>
      </c>
      <c r="B567" s="26" t="s">
        <v>10</v>
      </c>
      <c r="C567" s="26" t="s">
        <v>13</v>
      </c>
      <c r="D567" s="26" t="s">
        <v>610</v>
      </c>
      <c r="E567" s="26" t="s">
        <v>67</v>
      </c>
      <c r="F567" s="26" t="s">
        <v>44</v>
      </c>
      <c r="G567" s="26" t="s">
        <v>198</v>
      </c>
      <c r="H567" s="26" t="s">
        <v>22</v>
      </c>
      <c r="I567" s="26" t="s">
        <v>641</v>
      </c>
      <c r="J567" s="26" t="s">
        <v>11</v>
      </c>
      <c r="K567" s="27" t="s">
        <v>72</v>
      </c>
      <c r="L567" s="26">
        <v>282</v>
      </c>
      <c r="M567" s="28">
        <v>207</v>
      </c>
      <c r="N567" s="82">
        <f t="shared" si="138"/>
        <v>73.40425531914893</v>
      </c>
      <c r="O567" s="28">
        <v>282</v>
      </c>
      <c r="P567" s="28">
        <v>88</v>
      </c>
      <c r="Q567" s="82">
        <f t="shared" si="139"/>
        <v>31.205673758865249</v>
      </c>
      <c r="R567" s="31">
        <v>28</v>
      </c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</row>
    <row r="568" spans="1:233" s="46" customFormat="1" ht="15" customHeight="1">
      <c r="A568" s="73" t="s">
        <v>44</v>
      </c>
      <c r="B568" s="26" t="s">
        <v>10</v>
      </c>
      <c r="C568" s="26" t="s">
        <v>13</v>
      </c>
      <c r="D568" s="26" t="s">
        <v>610</v>
      </c>
      <c r="E568" s="26" t="s">
        <v>67</v>
      </c>
      <c r="F568" s="26" t="s">
        <v>44</v>
      </c>
      <c r="G568" s="26" t="s">
        <v>198</v>
      </c>
      <c r="H568" s="26" t="s">
        <v>22</v>
      </c>
      <c r="I568" s="26" t="s">
        <v>641</v>
      </c>
      <c r="J568" s="26" t="s">
        <v>11</v>
      </c>
      <c r="K568" s="27" t="s">
        <v>73</v>
      </c>
      <c r="L568" s="26">
        <v>233</v>
      </c>
      <c r="M568" s="28">
        <v>161</v>
      </c>
      <c r="N568" s="82">
        <f t="shared" si="138"/>
        <v>69.098712446351925</v>
      </c>
      <c r="O568" s="28">
        <v>232</v>
      </c>
      <c r="P568" s="28">
        <v>79</v>
      </c>
      <c r="Q568" s="82">
        <f t="shared" si="139"/>
        <v>34.051724137931032</v>
      </c>
      <c r="R568" s="31">
        <v>28</v>
      </c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</row>
    <row r="569" spans="1:233" s="46" customFormat="1" ht="15" customHeight="1">
      <c r="A569" s="73" t="s">
        <v>44</v>
      </c>
      <c r="B569" s="26" t="s">
        <v>10</v>
      </c>
      <c r="C569" s="26" t="s">
        <v>13</v>
      </c>
      <c r="D569" s="26" t="s">
        <v>610</v>
      </c>
      <c r="E569" s="26" t="s">
        <v>67</v>
      </c>
      <c r="F569" s="26" t="s">
        <v>44</v>
      </c>
      <c r="G569" s="26" t="s">
        <v>215</v>
      </c>
      <c r="H569" s="26" t="s">
        <v>22</v>
      </c>
      <c r="I569" s="26" t="s">
        <v>641</v>
      </c>
      <c r="J569" s="26" t="s">
        <v>16</v>
      </c>
      <c r="K569" s="27" t="s">
        <v>142</v>
      </c>
      <c r="L569" s="26">
        <f>L577+L585</f>
        <v>3237</v>
      </c>
      <c r="M569" s="26">
        <f>M577+M585</f>
        <v>1792</v>
      </c>
      <c r="N569" s="82">
        <f>M569*100/L569</f>
        <v>55.359901143033674</v>
      </c>
      <c r="O569" s="26">
        <f>O577+O585</f>
        <v>2813</v>
      </c>
      <c r="P569" s="26">
        <f>P577+P585</f>
        <v>478</v>
      </c>
      <c r="Q569" s="82">
        <f>P569*100/O569</f>
        <v>16.992534660504798</v>
      </c>
      <c r="R569" s="31">
        <v>28</v>
      </c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</row>
    <row r="570" spans="1:233" s="46" customFormat="1" ht="15" customHeight="1">
      <c r="A570" s="73" t="s">
        <v>44</v>
      </c>
      <c r="B570" s="26" t="s">
        <v>10</v>
      </c>
      <c r="C570" s="26" t="s">
        <v>13</v>
      </c>
      <c r="D570" s="26" t="s">
        <v>610</v>
      </c>
      <c r="E570" s="26" t="s">
        <v>67</v>
      </c>
      <c r="F570" s="26" t="s">
        <v>44</v>
      </c>
      <c r="G570" s="26" t="s">
        <v>215</v>
      </c>
      <c r="H570" s="26" t="s">
        <v>22</v>
      </c>
      <c r="I570" s="26" t="s">
        <v>641</v>
      </c>
      <c r="J570" s="26" t="s">
        <v>16</v>
      </c>
      <c r="K570" s="27" t="s">
        <v>24</v>
      </c>
      <c r="L570" s="26">
        <f t="shared" ref="L570:M570" si="140">L578+L586</f>
        <v>661</v>
      </c>
      <c r="M570" s="26">
        <f t="shared" si="140"/>
        <v>221</v>
      </c>
      <c r="N570" s="82">
        <f t="shared" ref="N570:N576" si="141">M570*100/L570</f>
        <v>33.434190620272318</v>
      </c>
      <c r="O570" s="26">
        <f t="shared" ref="O570:P570" si="142">O578+O586</f>
        <v>234</v>
      </c>
      <c r="P570" s="26">
        <f t="shared" si="142"/>
        <v>8</v>
      </c>
      <c r="Q570" s="82">
        <f t="shared" ref="Q570:Q576" si="143">P570*100/O570</f>
        <v>3.4188034188034186</v>
      </c>
      <c r="R570" s="31">
        <v>28</v>
      </c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</row>
    <row r="571" spans="1:233" s="46" customFormat="1" ht="15" customHeight="1">
      <c r="A571" s="73" t="s">
        <v>44</v>
      </c>
      <c r="B571" s="26" t="s">
        <v>10</v>
      </c>
      <c r="C571" s="26" t="s">
        <v>13</v>
      </c>
      <c r="D571" s="26" t="s">
        <v>610</v>
      </c>
      <c r="E571" s="26" t="s">
        <v>67</v>
      </c>
      <c r="F571" s="26" t="s">
        <v>44</v>
      </c>
      <c r="G571" s="26" t="s">
        <v>215</v>
      </c>
      <c r="H571" s="26" t="s">
        <v>22</v>
      </c>
      <c r="I571" s="26" t="s">
        <v>641</v>
      </c>
      <c r="J571" s="26" t="s">
        <v>16</v>
      </c>
      <c r="K571" s="27" t="s">
        <v>25</v>
      </c>
      <c r="L571" s="26">
        <f t="shared" ref="L571:M571" si="144">L579+L587</f>
        <v>380</v>
      </c>
      <c r="M571" s="26">
        <f t="shared" si="144"/>
        <v>173</v>
      </c>
      <c r="N571" s="82">
        <f t="shared" si="141"/>
        <v>45.526315789473685</v>
      </c>
      <c r="O571" s="26">
        <f t="shared" ref="O571:P571" si="145">O579+O587</f>
        <v>380</v>
      </c>
      <c r="P571" s="26">
        <f t="shared" si="145"/>
        <v>28</v>
      </c>
      <c r="Q571" s="82">
        <f t="shared" si="143"/>
        <v>7.3684210526315788</v>
      </c>
      <c r="R571" s="31">
        <v>28</v>
      </c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</row>
    <row r="572" spans="1:233" s="46" customFormat="1" ht="15" customHeight="1">
      <c r="A572" s="73" t="s">
        <v>44</v>
      </c>
      <c r="B572" s="26" t="s">
        <v>10</v>
      </c>
      <c r="C572" s="26" t="s">
        <v>13</v>
      </c>
      <c r="D572" s="26" t="s">
        <v>610</v>
      </c>
      <c r="E572" s="26" t="s">
        <v>67</v>
      </c>
      <c r="F572" s="26" t="s">
        <v>44</v>
      </c>
      <c r="G572" s="26" t="s">
        <v>215</v>
      </c>
      <c r="H572" s="26" t="s">
        <v>22</v>
      </c>
      <c r="I572" s="26" t="s">
        <v>641</v>
      </c>
      <c r="J572" s="26" t="s">
        <v>16</v>
      </c>
      <c r="K572" s="27" t="s">
        <v>26</v>
      </c>
      <c r="L572" s="26">
        <f t="shared" ref="L572:M572" si="146">L580+L588</f>
        <v>478</v>
      </c>
      <c r="M572" s="26">
        <f t="shared" si="146"/>
        <v>251</v>
      </c>
      <c r="N572" s="82">
        <f t="shared" si="141"/>
        <v>52.510460251046027</v>
      </c>
      <c r="O572" s="26">
        <f t="shared" ref="O572:P572" si="147">O580+O588</f>
        <v>478</v>
      </c>
      <c r="P572" s="26">
        <f t="shared" si="147"/>
        <v>56</v>
      </c>
      <c r="Q572" s="82">
        <f t="shared" si="143"/>
        <v>11.715481171548117</v>
      </c>
      <c r="R572" s="31">
        <v>28</v>
      </c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</row>
    <row r="573" spans="1:233" s="46" customFormat="1" ht="15" customHeight="1">
      <c r="A573" s="73" t="s">
        <v>44</v>
      </c>
      <c r="B573" s="26" t="s">
        <v>10</v>
      </c>
      <c r="C573" s="26" t="s">
        <v>13</v>
      </c>
      <c r="D573" s="26" t="s">
        <v>610</v>
      </c>
      <c r="E573" s="26" t="s">
        <v>67</v>
      </c>
      <c r="F573" s="26" t="s">
        <v>44</v>
      </c>
      <c r="G573" s="26" t="s">
        <v>215</v>
      </c>
      <c r="H573" s="26" t="s">
        <v>22</v>
      </c>
      <c r="I573" s="26" t="s">
        <v>641</v>
      </c>
      <c r="J573" s="26" t="s">
        <v>16</v>
      </c>
      <c r="K573" s="27" t="s">
        <v>27</v>
      </c>
      <c r="L573" s="26">
        <f t="shared" ref="L573:M573" si="148">L581+L589</f>
        <v>441</v>
      </c>
      <c r="M573" s="26">
        <f t="shared" si="148"/>
        <v>257</v>
      </c>
      <c r="N573" s="82">
        <f t="shared" si="141"/>
        <v>58.276643990929706</v>
      </c>
      <c r="O573" s="26">
        <f t="shared" ref="O573:P573" si="149">O581+O589</f>
        <v>442</v>
      </c>
      <c r="P573" s="26">
        <f t="shared" si="149"/>
        <v>65</v>
      </c>
      <c r="Q573" s="82">
        <f t="shared" si="143"/>
        <v>14.705882352941176</v>
      </c>
      <c r="R573" s="31">
        <v>28</v>
      </c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</row>
    <row r="574" spans="1:233" s="46" customFormat="1" ht="15" customHeight="1">
      <c r="A574" s="73" t="s">
        <v>44</v>
      </c>
      <c r="B574" s="26" t="s">
        <v>10</v>
      </c>
      <c r="C574" s="26" t="s">
        <v>13</v>
      </c>
      <c r="D574" s="26" t="s">
        <v>610</v>
      </c>
      <c r="E574" s="26" t="s">
        <v>67</v>
      </c>
      <c r="F574" s="26" t="s">
        <v>44</v>
      </c>
      <c r="G574" s="26" t="s">
        <v>215</v>
      </c>
      <c r="H574" s="26" t="s">
        <v>22</v>
      </c>
      <c r="I574" s="26" t="s">
        <v>641</v>
      </c>
      <c r="J574" s="26" t="s">
        <v>16</v>
      </c>
      <c r="K574" s="27" t="s">
        <v>28</v>
      </c>
      <c r="L574" s="26">
        <f t="shared" ref="L574:M574" si="150">L582+L590</f>
        <v>422</v>
      </c>
      <c r="M574" s="26">
        <f t="shared" si="150"/>
        <v>285</v>
      </c>
      <c r="N574" s="82">
        <f t="shared" si="141"/>
        <v>67.535545023696685</v>
      </c>
      <c r="O574" s="26">
        <f t="shared" ref="O574:P574" si="151">O582+O590</f>
        <v>423</v>
      </c>
      <c r="P574" s="26">
        <f t="shared" si="151"/>
        <v>79</v>
      </c>
      <c r="Q574" s="82">
        <f t="shared" si="143"/>
        <v>18.67612293144208</v>
      </c>
      <c r="R574" s="31">
        <v>28</v>
      </c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</row>
    <row r="575" spans="1:233" s="46" customFormat="1" ht="15" customHeight="1">
      <c r="A575" s="73" t="s">
        <v>44</v>
      </c>
      <c r="B575" s="26" t="s">
        <v>10</v>
      </c>
      <c r="C575" s="26" t="s">
        <v>13</v>
      </c>
      <c r="D575" s="26" t="s">
        <v>610</v>
      </c>
      <c r="E575" s="26" t="s">
        <v>67</v>
      </c>
      <c r="F575" s="26" t="s">
        <v>44</v>
      </c>
      <c r="G575" s="26" t="s">
        <v>215</v>
      </c>
      <c r="H575" s="26" t="s">
        <v>22</v>
      </c>
      <c r="I575" s="26" t="s">
        <v>641</v>
      </c>
      <c r="J575" s="26" t="s">
        <v>16</v>
      </c>
      <c r="K575" s="27" t="s">
        <v>72</v>
      </c>
      <c r="L575" s="26">
        <f t="shared" ref="L575:M575" si="152">L583+L591</f>
        <v>430</v>
      </c>
      <c r="M575" s="26">
        <f t="shared" si="152"/>
        <v>294</v>
      </c>
      <c r="N575" s="82">
        <f t="shared" si="141"/>
        <v>68.372093023255815</v>
      </c>
      <c r="O575" s="26">
        <f t="shared" ref="O575:P575" si="153">O583+O591</f>
        <v>430</v>
      </c>
      <c r="P575" s="26">
        <f t="shared" si="153"/>
        <v>117</v>
      </c>
      <c r="Q575" s="82">
        <f t="shared" si="143"/>
        <v>27.209302325581394</v>
      </c>
      <c r="R575" s="31">
        <v>28</v>
      </c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</row>
    <row r="576" spans="1:233" s="46" customFormat="1" ht="15" customHeight="1">
      <c r="A576" s="73" t="s">
        <v>44</v>
      </c>
      <c r="B576" s="26" t="s">
        <v>10</v>
      </c>
      <c r="C576" s="26" t="s">
        <v>13</v>
      </c>
      <c r="D576" s="26" t="s">
        <v>610</v>
      </c>
      <c r="E576" s="26" t="s">
        <v>67</v>
      </c>
      <c r="F576" s="26" t="s">
        <v>44</v>
      </c>
      <c r="G576" s="26" t="s">
        <v>215</v>
      </c>
      <c r="H576" s="26" t="s">
        <v>22</v>
      </c>
      <c r="I576" s="26" t="s">
        <v>641</v>
      </c>
      <c r="J576" s="26" t="s">
        <v>16</v>
      </c>
      <c r="K576" s="27" t="s">
        <v>73</v>
      </c>
      <c r="L576" s="26">
        <f t="shared" ref="L576:M576" si="154">L584+L592</f>
        <v>425</v>
      </c>
      <c r="M576" s="26">
        <f t="shared" si="154"/>
        <v>311</v>
      </c>
      <c r="N576" s="82">
        <f t="shared" si="141"/>
        <v>73.17647058823529</v>
      </c>
      <c r="O576" s="26">
        <f t="shared" ref="O576:P576" si="155">O584+O592</f>
        <v>426</v>
      </c>
      <c r="P576" s="26">
        <f t="shared" si="155"/>
        <v>125</v>
      </c>
      <c r="Q576" s="82">
        <f t="shared" si="143"/>
        <v>29.342723004694836</v>
      </c>
      <c r="R576" s="31">
        <v>28</v>
      </c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</row>
    <row r="577" spans="1:233" s="46" customFormat="1" ht="15" customHeight="1">
      <c r="A577" s="73" t="s">
        <v>44</v>
      </c>
      <c r="B577" s="26" t="s">
        <v>10</v>
      </c>
      <c r="C577" s="26" t="s">
        <v>13</v>
      </c>
      <c r="D577" s="26" t="s">
        <v>610</v>
      </c>
      <c r="E577" s="26" t="s">
        <v>67</v>
      </c>
      <c r="F577" s="26" t="s">
        <v>44</v>
      </c>
      <c r="G577" s="26" t="s">
        <v>215</v>
      </c>
      <c r="H577" s="26" t="s">
        <v>22</v>
      </c>
      <c r="I577" s="26" t="s">
        <v>641</v>
      </c>
      <c r="J577" s="26" t="s">
        <v>23</v>
      </c>
      <c r="K577" s="27" t="s">
        <v>142</v>
      </c>
      <c r="L577" s="26">
        <f>SUM(L578:L584)</f>
        <v>1537</v>
      </c>
      <c r="M577" s="26">
        <f t="shared" ref="M577" si="156">SUM(M578:M584)</f>
        <v>806</v>
      </c>
      <c r="N577" s="82">
        <f>M577*100/L577</f>
        <v>52.439817826935588</v>
      </c>
      <c r="O577" s="26">
        <f t="shared" ref="O577" si="157">SUM(O578:O584)</f>
        <v>1330</v>
      </c>
      <c r="P577" s="26">
        <f t="shared" ref="P577" si="158">SUM(P578:P584)</f>
        <v>149</v>
      </c>
      <c r="Q577" s="82">
        <f>P577*100/O577</f>
        <v>11.203007518796992</v>
      </c>
      <c r="R577" s="31">
        <v>28</v>
      </c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</row>
    <row r="578" spans="1:233" s="46" customFormat="1" ht="15" customHeight="1">
      <c r="A578" s="73" t="s">
        <v>44</v>
      </c>
      <c r="B578" s="26" t="s">
        <v>10</v>
      </c>
      <c r="C578" s="26" t="s">
        <v>13</v>
      </c>
      <c r="D578" s="26" t="s">
        <v>610</v>
      </c>
      <c r="E578" s="26" t="s">
        <v>67</v>
      </c>
      <c r="F578" s="26" t="s">
        <v>44</v>
      </c>
      <c r="G578" s="26" t="s">
        <v>215</v>
      </c>
      <c r="H578" s="26" t="s">
        <v>22</v>
      </c>
      <c r="I578" s="26" t="s">
        <v>641</v>
      </c>
      <c r="J578" s="26" t="s">
        <v>23</v>
      </c>
      <c r="K578" s="27" t="s">
        <v>24</v>
      </c>
      <c r="L578" s="26">
        <v>337</v>
      </c>
      <c r="M578" s="28">
        <v>111</v>
      </c>
      <c r="N578" s="82">
        <f>M578*100/L578</f>
        <v>32.937685459940653</v>
      </c>
      <c r="O578" s="28">
        <v>127</v>
      </c>
      <c r="P578" s="28">
        <v>2</v>
      </c>
      <c r="Q578" s="82">
        <f>P578*100/O578</f>
        <v>1.5748031496062993</v>
      </c>
      <c r="R578" s="31">
        <v>28</v>
      </c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</row>
    <row r="579" spans="1:233" s="46" customFormat="1" ht="15" customHeight="1">
      <c r="A579" s="73" t="s">
        <v>44</v>
      </c>
      <c r="B579" s="26" t="s">
        <v>10</v>
      </c>
      <c r="C579" s="26" t="s">
        <v>13</v>
      </c>
      <c r="D579" s="26" t="s">
        <v>610</v>
      </c>
      <c r="E579" s="26" t="s">
        <v>67</v>
      </c>
      <c r="F579" s="26" t="s">
        <v>44</v>
      </c>
      <c r="G579" s="26" t="s">
        <v>215</v>
      </c>
      <c r="H579" s="26" t="s">
        <v>22</v>
      </c>
      <c r="I579" s="26" t="s">
        <v>641</v>
      </c>
      <c r="J579" s="26" t="s">
        <v>23</v>
      </c>
      <c r="K579" s="27" t="s">
        <v>25</v>
      </c>
      <c r="L579" s="26">
        <v>183</v>
      </c>
      <c r="M579" s="28">
        <v>76</v>
      </c>
      <c r="N579" s="82">
        <f t="shared" ref="N579:N584" si="159">M579*100/L579</f>
        <v>41.530054644808743</v>
      </c>
      <c r="O579" s="28">
        <v>183</v>
      </c>
      <c r="P579" s="28">
        <v>8</v>
      </c>
      <c r="Q579" s="82">
        <f t="shared" ref="Q579:Q584" si="160">P579*100/O579</f>
        <v>4.3715846994535523</v>
      </c>
      <c r="R579" s="31">
        <v>28</v>
      </c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</row>
    <row r="580" spans="1:233" s="46" customFormat="1" ht="15" customHeight="1">
      <c r="A580" s="73" t="s">
        <v>44</v>
      </c>
      <c r="B580" s="26" t="s">
        <v>10</v>
      </c>
      <c r="C580" s="26" t="s">
        <v>13</v>
      </c>
      <c r="D580" s="26" t="s">
        <v>610</v>
      </c>
      <c r="E580" s="26" t="s">
        <v>67</v>
      </c>
      <c r="F580" s="26" t="s">
        <v>44</v>
      </c>
      <c r="G580" s="26" t="s">
        <v>215</v>
      </c>
      <c r="H580" s="26" t="s">
        <v>22</v>
      </c>
      <c r="I580" s="26" t="s">
        <v>641</v>
      </c>
      <c r="J580" s="26" t="s">
        <v>23</v>
      </c>
      <c r="K580" s="27" t="s">
        <v>26</v>
      </c>
      <c r="L580" s="26">
        <v>219</v>
      </c>
      <c r="M580" s="28">
        <v>112</v>
      </c>
      <c r="N580" s="82">
        <f t="shared" si="159"/>
        <v>51.141552511415526</v>
      </c>
      <c r="O580" s="28">
        <v>219</v>
      </c>
      <c r="P580" s="28">
        <v>17</v>
      </c>
      <c r="Q580" s="82">
        <f t="shared" si="160"/>
        <v>7.762557077625571</v>
      </c>
      <c r="R580" s="31">
        <v>28</v>
      </c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</row>
    <row r="581" spans="1:233" s="46" customFormat="1" ht="15" customHeight="1">
      <c r="A581" s="73" t="s">
        <v>44</v>
      </c>
      <c r="B581" s="26" t="s">
        <v>10</v>
      </c>
      <c r="C581" s="26" t="s">
        <v>13</v>
      </c>
      <c r="D581" s="26" t="s">
        <v>610</v>
      </c>
      <c r="E581" s="26" t="s">
        <v>67</v>
      </c>
      <c r="F581" s="26" t="s">
        <v>44</v>
      </c>
      <c r="G581" s="26" t="s">
        <v>215</v>
      </c>
      <c r="H581" s="26" t="s">
        <v>22</v>
      </c>
      <c r="I581" s="26" t="s">
        <v>641</v>
      </c>
      <c r="J581" s="26" t="s">
        <v>23</v>
      </c>
      <c r="K581" s="27" t="s">
        <v>27</v>
      </c>
      <c r="L581" s="26">
        <v>216</v>
      </c>
      <c r="M581" s="28">
        <v>114</v>
      </c>
      <c r="N581" s="82">
        <f t="shared" si="159"/>
        <v>52.777777777777779</v>
      </c>
      <c r="O581" s="28">
        <v>217</v>
      </c>
      <c r="P581" s="28">
        <v>18</v>
      </c>
      <c r="Q581" s="82">
        <f t="shared" si="160"/>
        <v>8.2949308755760374</v>
      </c>
      <c r="R581" s="31">
        <v>28</v>
      </c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</row>
    <row r="582" spans="1:233" s="46" customFormat="1" ht="15" customHeight="1">
      <c r="A582" s="73" t="s">
        <v>44</v>
      </c>
      <c r="B582" s="26" t="s">
        <v>10</v>
      </c>
      <c r="C582" s="26" t="s">
        <v>13</v>
      </c>
      <c r="D582" s="26" t="s">
        <v>610</v>
      </c>
      <c r="E582" s="26" t="s">
        <v>67</v>
      </c>
      <c r="F582" s="26" t="s">
        <v>44</v>
      </c>
      <c r="G582" s="26" t="s">
        <v>215</v>
      </c>
      <c r="H582" s="26" t="s">
        <v>22</v>
      </c>
      <c r="I582" s="26" t="s">
        <v>641</v>
      </c>
      <c r="J582" s="26" t="s">
        <v>23</v>
      </c>
      <c r="K582" s="27" t="s">
        <v>28</v>
      </c>
      <c r="L582" s="26">
        <v>202</v>
      </c>
      <c r="M582" s="28">
        <v>131</v>
      </c>
      <c r="N582" s="82">
        <f t="shared" si="159"/>
        <v>64.851485148514854</v>
      </c>
      <c r="O582" s="28">
        <v>204</v>
      </c>
      <c r="P582" s="28">
        <v>29</v>
      </c>
      <c r="Q582" s="82">
        <f t="shared" si="160"/>
        <v>14.215686274509803</v>
      </c>
      <c r="R582" s="31">
        <v>28</v>
      </c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</row>
    <row r="583" spans="1:233" s="46" customFormat="1" ht="15" customHeight="1">
      <c r="A583" s="73" t="s">
        <v>44</v>
      </c>
      <c r="B583" s="26" t="s">
        <v>10</v>
      </c>
      <c r="C583" s="26" t="s">
        <v>13</v>
      </c>
      <c r="D583" s="26" t="s">
        <v>610</v>
      </c>
      <c r="E583" s="26" t="s">
        <v>67</v>
      </c>
      <c r="F583" s="26" t="s">
        <v>44</v>
      </c>
      <c r="G583" s="26" t="s">
        <v>215</v>
      </c>
      <c r="H583" s="26" t="s">
        <v>22</v>
      </c>
      <c r="I583" s="26" t="s">
        <v>641</v>
      </c>
      <c r="J583" s="26" t="s">
        <v>23</v>
      </c>
      <c r="K583" s="27" t="s">
        <v>72</v>
      </c>
      <c r="L583" s="26">
        <v>182</v>
      </c>
      <c r="M583" s="28">
        <v>123</v>
      </c>
      <c r="N583" s="82">
        <f t="shared" si="159"/>
        <v>67.582417582417577</v>
      </c>
      <c r="O583" s="28">
        <v>182</v>
      </c>
      <c r="P583" s="28">
        <v>33</v>
      </c>
      <c r="Q583" s="82">
        <f t="shared" si="160"/>
        <v>18.131868131868131</v>
      </c>
      <c r="R583" s="31">
        <v>28</v>
      </c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</row>
    <row r="584" spans="1:233" s="46" customFormat="1" ht="15" customHeight="1">
      <c r="A584" s="73" t="s">
        <v>44</v>
      </c>
      <c r="B584" s="26" t="s">
        <v>10</v>
      </c>
      <c r="C584" s="26" t="s">
        <v>13</v>
      </c>
      <c r="D584" s="26" t="s">
        <v>610</v>
      </c>
      <c r="E584" s="26" t="s">
        <v>67</v>
      </c>
      <c r="F584" s="26" t="s">
        <v>44</v>
      </c>
      <c r="G584" s="26" t="s">
        <v>215</v>
      </c>
      <c r="H584" s="26" t="s">
        <v>22</v>
      </c>
      <c r="I584" s="26" t="s">
        <v>641</v>
      </c>
      <c r="J584" s="26" t="s">
        <v>23</v>
      </c>
      <c r="K584" s="27" t="s">
        <v>73</v>
      </c>
      <c r="L584" s="26">
        <v>198</v>
      </c>
      <c r="M584" s="28">
        <v>139</v>
      </c>
      <c r="N584" s="82">
        <f t="shared" si="159"/>
        <v>70.202020202020208</v>
      </c>
      <c r="O584" s="28">
        <v>198</v>
      </c>
      <c r="P584" s="28">
        <v>42</v>
      </c>
      <c r="Q584" s="82">
        <f t="shared" si="160"/>
        <v>21.212121212121211</v>
      </c>
      <c r="R584" s="31">
        <v>28</v>
      </c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</row>
    <row r="585" spans="1:233" s="46" customFormat="1" ht="15" customHeight="1">
      <c r="A585" s="73" t="s">
        <v>44</v>
      </c>
      <c r="B585" s="26" t="s">
        <v>10</v>
      </c>
      <c r="C585" s="26" t="s">
        <v>13</v>
      </c>
      <c r="D585" s="26" t="s">
        <v>610</v>
      </c>
      <c r="E585" s="26" t="s">
        <v>67</v>
      </c>
      <c r="F585" s="26" t="s">
        <v>44</v>
      </c>
      <c r="G585" s="26" t="s">
        <v>215</v>
      </c>
      <c r="H585" s="26" t="s">
        <v>22</v>
      </c>
      <c r="I585" s="26" t="s">
        <v>641</v>
      </c>
      <c r="J585" s="26" t="s">
        <v>11</v>
      </c>
      <c r="K585" s="27" t="s">
        <v>142</v>
      </c>
      <c r="L585" s="26">
        <f>SUM(L586:L592)</f>
        <v>1700</v>
      </c>
      <c r="M585" s="26">
        <f t="shared" ref="M585" si="161">SUM(M586:M592)</f>
        <v>986</v>
      </c>
      <c r="N585" s="82">
        <f>M585*100/L585</f>
        <v>58</v>
      </c>
      <c r="O585" s="26">
        <f t="shared" ref="O585" si="162">SUM(O586:O592)</f>
        <v>1483</v>
      </c>
      <c r="P585" s="26">
        <f t="shared" ref="P585" si="163">SUM(P586:P592)</f>
        <v>329</v>
      </c>
      <c r="Q585" s="82">
        <f>P585*100/O585</f>
        <v>22.184760620364127</v>
      </c>
      <c r="R585" s="31">
        <v>28</v>
      </c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</row>
    <row r="586" spans="1:233" s="46" customFormat="1" ht="15" customHeight="1">
      <c r="A586" s="73" t="s">
        <v>44</v>
      </c>
      <c r="B586" s="26" t="s">
        <v>10</v>
      </c>
      <c r="C586" s="26" t="s">
        <v>13</v>
      </c>
      <c r="D586" s="26" t="s">
        <v>610</v>
      </c>
      <c r="E586" s="26" t="s">
        <v>67</v>
      </c>
      <c r="F586" s="26" t="s">
        <v>44</v>
      </c>
      <c r="G586" s="26" t="s">
        <v>215</v>
      </c>
      <c r="H586" s="26" t="s">
        <v>22</v>
      </c>
      <c r="I586" s="26" t="s">
        <v>641</v>
      </c>
      <c r="J586" s="26" t="s">
        <v>11</v>
      </c>
      <c r="K586" s="27" t="s">
        <v>24</v>
      </c>
      <c r="L586" s="26">
        <v>324</v>
      </c>
      <c r="M586" s="28">
        <v>110</v>
      </c>
      <c r="N586" s="82">
        <f>M586*100/L586</f>
        <v>33.950617283950621</v>
      </c>
      <c r="O586" s="28">
        <v>107</v>
      </c>
      <c r="P586" s="28">
        <v>6</v>
      </c>
      <c r="Q586" s="82">
        <f>P586*100/O586</f>
        <v>5.6074766355140184</v>
      </c>
      <c r="R586" s="31">
        <v>28</v>
      </c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</row>
    <row r="587" spans="1:233" s="46" customFormat="1" ht="15" customHeight="1">
      <c r="A587" s="73" t="s">
        <v>44</v>
      </c>
      <c r="B587" s="26" t="s">
        <v>10</v>
      </c>
      <c r="C587" s="26" t="s">
        <v>13</v>
      </c>
      <c r="D587" s="26" t="s">
        <v>610</v>
      </c>
      <c r="E587" s="26" t="s">
        <v>67</v>
      </c>
      <c r="F587" s="26" t="s">
        <v>44</v>
      </c>
      <c r="G587" s="26" t="s">
        <v>215</v>
      </c>
      <c r="H587" s="26" t="s">
        <v>22</v>
      </c>
      <c r="I587" s="26" t="s">
        <v>641</v>
      </c>
      <c r="J587" s="26" t="s">
        <v>11</v>
      </c>
      <c r="K587" s="27" t="s">
        <v>25</v>
      </c>
      <c r="L587" s="26">
        <v>197</v>
      </c>
      <c r="M587" s="28">
        <v>97</v>
      </c>
      <c r="N587" s="82">
        <f t="shared" ref="N587:N592" si="164">M587*100/L587</f>
        <v>49.238578680203048</v>
      </c>
      <c r="O587" s="28">
        <v>197</v>
      </c>
      <c r="P587" s="28">
        <v>20</v>
      </c>
      <c r="Q587" s="82">
        <f t="shared" ref="Q587:Q592" si="165">P587*100/O587</f>
        <v>10.152284263959391</v>
      </c>
      <c r="R587" s="31">
        <v>28</v>
      </c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</row>
    <row r="588" spans="1:233" s="46" customFormat="1" ht="15" customHeight="1">
      <c r="A588" s="73" t="s">
        <v>44</v>
      </c>
      <c r="B588" s="26" t="s">
        <v>10</v>
      </c>
      <c r="C588" s="26" t="s">
        <v>13</v>
      </c>
      <c r="D588" s="26" t="s">
        <v>610</v>
      </c>
      <c r="E588" s="26" t="s">
        <v>67</v>
      </c>
      <c r="F588" s="26" t="s">
        <v>44</v>
      </c>
      <c r="G588" s="26" t="s">
        <v>215</v>
      </c>
      <c r="H588" s="26" t="s">
        <v>22</v>
      </c>
      <c r="I588" s="26" t="s">
        <v>641</v>
      </c>
      <c r="J588" s="26" t="s">
        <v>11</v>
      </c>
      <c r="K588" s="27" t="s">
        <v>26</v>
      </c>
      <c r="L588" s="26">
        <v>259</v>
      </c>
      <c r="M588" s="28">
        <v>139</v>
      </c>
      <c r="N588" s="82">
        <f t="shared" si="164"/>
        <v>53.667953667953668</v>
      </c>
      <c r="O588" s="28">
        <v>259</v>
      </c>
      <c r="P588" s="28">
        <v>39</v>
      </c>
      <c r="Q588" s="82">
        <f t="shared" si="165"/>
        <v>15.057915057915057</v>
      </c>
      <c r="R588" s="31">
        <v>28</v>
      </c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</row>
    <row r="589" spans="1:233" s="46" customFormat="1" ht="15" customHeight="1">
      <c r="A589" s="73" t="s">
        <v>44</v>
      </c>
      <c r="B589" s="26" t="s">
        <v>10</v>
      </c>
      <c r="C589" s="26" t="s">
        <v>13</v>
      </c>
      <c r="D589" s="26" t="s">
        <v>610</v>
      </c>
      <c r="E589" s="26" t="s">
        <v>67</v>
      </c>
      <c r="F589" s="26" t="s">
        <v>44</v>
      </c>
      <c r="G589" s="26" t="s">
        <v>215</v>
      </c>
      <c r="H589" s="26" t="s">
        <v>22</v>
      </c>
      <c r="I589" s="26" t="s">
        <v>641</v>
      </c>
      <c r="J589" s="26" t="s">
        <v>11</v>
      </c>
      <c r="K589" s="27" t="s">
        <v>27</v>
      </c>
      <c r="L589" s="26">
        <v>225</v>
      </c>
      <c r="M589" s="28">
        <v>143</v>
      </c>
      <c r="N589" s="82">
        <f t="shared" si="164"/>
        <v>63.555555555555557</v>
      </c>
      <c r="O589" s="28">
        <v>225</v>
      </c>
      <c r="P589" s="28">
        <v>47</v>
      </c>
      <c r="Q589" s="82">
        <f t="shared" si="165"/>
        <v>20.888888888888889</v>
      </c>
      <c r="R589" s="31">
        <v>28</v>
      </c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</row>
    <row r="590" spans="1:233" s="46" customFormat="1" ht="15" customHeight="1">
      <c r="A590" s="73" t="s">
        <v>44</v>
      </c>
      <c r="B590" s="26" t="s">
        <v>10</v>
      </c>
      <c r="C590" s="26" t="s">
        <v>13</v>
      </c>
      <c r="D590" s="26" t="s">
        <v>610</v>
      </c>
      <c r="E590" s="26" t="s">
        <v>67</v>
      </c>
      <c r="F590" s="26" t="s">
        <v>44</v>
      </c>
      <c r="G590" s="26" t="s">
        <v>215</v>
      </c>
      <c r="H590" s="26" t="s">
        <v>22</v>
      </c>
      <c r="I590" s="26" t="s">
        <v>641</v>
      </c>
      <c r="J590" s="26" t="s">
        <v>11</v>
      </c>
      <c r="K590" s="27" t="s">
        <v>28</v>
      </c>
      <c r="L590" s="26">
        <v>220</v>
      </c>
      <c r="M590" s="28">
        <v>154</v>
      </c>
      <c r="N590" s="82">
        <f t="shared" si="164"/>
        <v>70</v>
      </c>
      <c r="O590" s="28">
        <v>219</v>
      </c>
      <c r="P590" s="28">
        <v>50</v>
      </c>
      <c r="Q590" s="82">
        <f t="shared" si="165"/>
        <v>22.831050228310502</v>
      </c>
      <c r="R590" s="31">
        <v>28</v>
      </c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</row>
    <row r="591" spans="1:233" s="46" customFormat="1" ht="15" customHeight="1">
      <c r="A591" s="73" t="s">
        <v>44</v>
      </c>
      <c r="B591" s="26" t="s">
        <v>10</v>
      </c>
      <c r="C591" s="26" t="s">
        <v>13</v>
      </c>
      <c r="D591" s="26" t="s">
        <v>610</v>
      </c>
      <c r="E591" s="26" t="s">
        <v>67</v>
      </c>
      <c r="F591" s="26" t="s">
        <v>44</v>
      </c>
      <c r="G591" s="26" t="s">
        <v>215</v>
      </c>
      <c r="H591" s="26" t="s">
        <v>22</v>
      </c>
      <c r="I591" s="26" t="s">
        <v>641</v>
      </c>
      <c r="J591" s="26" t="s">
        <v>11</v>
      </c>
      <c r="K591" s="27" t="s">
        <v>72</v>
      </c>
      <c r="L591" s="26">
        <v>248</v>
      </c>
      <c r="M591" s="28">
        <v>171</v>
      </c>
      <c r="N591" s="82">
        <f t="shared" si="164"/>
        <v>68.951612903225808</v>
      </c>
      <c r="O591" s="28">
        <v>248</v>
      </c>
      <c r="P591" s="28">
        <v>84</v>
      </c>
      <c r="Q591" s="82">
        <f t="shared" si="165"/>
        <v>33.87096774193548</v>
      </c>
      <c r="R591" s="31">
        <v>28</v>
      </c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</row>
    <row r="592" spans="1:233" s="46" customFormat="1" ht="15" customHeight="1">
      <c r="A592" s="73" t="s">
        <v>44</v>
      </c>
      <c r="B592" s="26" t="s">
        <v>10</v>
      </c>
      <c r="C592" s="26" t="s">
        <v>13</v>
      </c>
      <c r="D592" s="26" t="s">
        <v>610</v>
      </c>
      <c r="E592" s="26" t="s">
        <v>67</v>
      </c>
      <c r="F592" s="26" t="s">
        <v>44</v>
      </c>
      <c r="G592" s="26" t="s">
        <v>215</v>
      </c>
      <c r="H592" s="26" t="s">
        <v>22</v>
      </c>
      <c r="I592" s="26" t="s">
        <v>641</v>
      </c>
      <c r="J592" s="26" t="s">
        <v>11</v>
      </c>
      <c r="K592" s="27" t="s">
        <v>73</v>
      </c>
      <c r="L592" s="26">
        <v>227</v>
      </c>
      <c r="M592" s="28">
        <v>172</v>
      </c>
      <c r="N592" s="82">
        <f t="shared" si="164"/>
        <v>75.770925110132154</v>
      </c>
      <c r="O592" s="28">
        <v>228</v>
      </c>
      <c r="P592" s="28">
        <v>83</v>
      </c>
      <c r="Q592" s="82">
        <f t="shared" si="165"/>
        <v>36.403508771929822</v>
      </c>
      <c r="R592" s="31">
        <v>28</v>
      </c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I64"/>
  <sheetViews>
    <sheetView showGridLines="0" zoomScale="55" zoomScaleNormal="55" workbookViewId="0">
      <selection activeCell="A2" sqref="A2"/>
    </sheetView>
  </sheetViews>
  <sheetFormatPr defaultColWidth="8.81640625" defaultRowHeight="15" customHeight="1"/>
  <cols>
    <col min="1" max="1" width="30.26953125" style="33" customWidth="1"/>
    <col min="2" max="2" width="20.453125" style="39" customWidth="1"/>
    <col min="3" max="3" width="28.7265625" style="39" customWidth="1"/>
    <col min="4" max="4" width="23.453125" style="39" customWidth="1"/>
    <col min="5" max="5" width="19.81640625" style="39" customWidth="1"/>
    <col min="6" max="6" width="16.7265625" style="39" customWidth="1"/>
    <col min="7" max="7" width="15.453125" style="39" customWidth="1"/>
    <col min="8" max="8" width="57.1796875" style="39" customWidth="1"/>
    <col min="9" max="9" width="20" style="39" customWidth="1"/>
    <col min="10" max="10" width="11.81640625" style="39" customWidth="1"/>
    <col min="11" max="11" width="10.81640625" style="39" customWidth="1"/>
    <col min="12" max="12" width="5.1796875" style="39" customWidth="1"/>
    <col min="13" max="13" width="7.1796875" style="39" customWidth="1"/>
    <col min="14" max="14" width="22.453125" style="39" customWidth="1"/>
    <col min="15" max="15" width="19.453125" style="39" customWidth="1"/>
    <col min="16" max="16" width="6.453125" style="39" customWidth="1"/>
    <col min="17" max="17" width="8.453125" style="39" customWidth="1"/>
    <col min="18" max="18" width="22.81640625" style="39" customWidth="1"/>
    <col min="19" max="19" width="21" style="39" customWidth="1"/>
    <col min="20" max="20" width="25.453125" style="39" customWidth="1"/>
    <col min="21" max="21" width="20.453125" style="39" customWidth="1"/>
    <col min="22" max="243" width="8.81640625" style="33" customWidth="1"/>
    <col min="244" max="16384" width="8.81640625" style="34"/>
  </cols>
  <sheetData>
    <row r="1" spans="1:21" ht="15" customHeight="1">
      <c r="A1" s="56" t="s">
        <v>0</v>
      </c>
      <c r="B1" s="36" t="s">
        <v>1</v>
      </c>
      <c r="C1" s="36" t="s">
        <v>606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632</v>
      </c>
      <c r="K1" s="36" t="s">
        <v>650</v>
      </c>
      <c r="L1" s="36" t="s">
        <v>660</v>
      </c>
      <c r="M1" s="36" t="s">
        <v>659</v>
      </c>
      <c r="N1" s="37" t="s">
        <v>338</v>
      </c>
      <c r="O1" s="37" t="s">
        <v>649</v>
      </c>
      <c r="P1" s="36" t="s">
        <v>658</v>
      </c>
      <c r="Q1" s="36" t="s">
        <v>657</v>
      </c>
      <c r="R1" s="37" t="s">
        <v>339</v>
      </c>
      <c r="S1" s="37" t="s">
        <v>648</v>
      </c>
      <c r="T1" s="37" t="s">
        <v>340</v>
      </c>
      <c r="U1" s="57" t="s">
        <v>625</v>
      </c>
    </row>
    <row r="2" spans="1:21" ht="15" customHeight="1">
      <c r="A2" s="58" t="s">
        <v>438</v>
      </c>
      <c r="B2" s="23">
        <v>2015</v>
      </c>
      <c r="C2" s="24" t="s">
        <v>206</v>
      </c>
      <c r="D2" s="22" t="s">
        <v>411</v>
      </c>
      <c r="E2" s="22" t="s">
        <v>9</v>
      </c>
      <c r="F2" s="22" t="s">
        <v>333</v>
      </c>
      <c r="G2" s="22" t="s">
        <v>446</v>
      </c>
      <c r="H2" s="75" t="s">
        <v>630</v>
      </c>
      <c r="I2" s="22" t="s">
        <v>351</v>
      </c>
      <c r="J2" s="22" t="s">
        <v>11</v>
      </c>
      <c r="K2" s="22" t="s">
        <v>582</v>
      </c>
      <c r="L2" s="22" t="s">
        <v>10</v>
      </c>
      <c r="M2" s="22" t="s">
        <v>10</v>
      </c>
      <c r="N2" s="22" t="s">
        <v>10</v>
      </c>
      <c r="O2" s="22" t="s">
        <v>10</v>
      </c>
      <c r="P2" s="49">
        <v>222</v>
      </c>
      <c r="Q2" s="49">
        <v>58</v>
      </c>
      <c r="R2" s="49">
        <v>12.3</v>
      </c>
      <c r="S2" s="22" t="s">
        <v>345</v>
      </c>
      <c r="T2" s="22" t="s">
        <v>583</v>
      </c>
      <c r="U2" s="59">
        <v>33</v>
      </c>
    </row>
    <row r="3" spans="1:21" ht="15" customHeight="1">
      <c r="A3" s="60" t="s">
        <v>584</v>
      </c>
      <c r="B3" s="50">
        <v>2017</v>
      </c>
      <c r="C3" s="51" t="s">
        <v>206</v>
      </c>
      <c r="D3" s="74" t="s">
        <v>451</v>
      </c>
      <c r="E3" s="52" t="s">
        <v>585</v>
      </c>
      <c r="F3" s="52" t="s">
        <v>334</v>
      </c>
      <c r="G3" s="52" t="s">
        <v>446</v>
      </c>
      <c r="H3" s="52" t="s">
        <v>586</v>
      </c>
      <c r="I3" s="52" t="s">
        <v>447</v>
      </c>
      <c r="J3" s="52" t="s">
        <v>16</v>
      </c>
      <c r="K3" s="52" t="s">
        <v>454</v>
      </c>
      <c r="L3" s="52" t="s">
        <v>10</v>
      </c>
      <c r="M3" s="52" t="s">
        <v>10</v>
      </c>
      <c r="N3" s="52" t="s">
        <v>10</v>
      </c>
      <c r="O3" s="52" t="s">
        <v>10</v>
      </c>
      <c r="P3" s="50">
        <v>616</v>
      </c>
      <c r="Q3" s="53"/>
      <c r="R3" s="54">
        <v>4</v>
      </c>
      <c r="S3" s="52" t="s">
        <v>345</v>
      </c>
      <c r="T3" s="52" t="s">
        <v>629</v>
      </c>
      <c r="U3" s="61">
        <v>34</v>
      </c>
    </row>
    <row r="4" spans="1:21" ht="15" customHeight="1">
      <c r="A4" s="60" t="s">
        <v>584</v>
      </c>
      <c r="B4" s="50">
        <v>2017</v>
      </c>
      <c r="C4" s="52" t="s">
        <v>206</v>
      </c>
      <c r="D4" s="74" t="s">
        <v>451</v>
      </c>
      <c r="E4" s="52" t="s">
        <v>585</v>
      </c>
      <c r="F4" s="52" t="s">
        <v>334</v>
      </c>
      <c r="G4" s="52" t="s">
        <v>446</v>
      </c>
      <c r="H4" s="52" t="s">
        <v>586</v>
      </c>
      <c r="I4" s="52" t="s">
        <v>447</v>
      </c>
      <c r="J4" s="52" t="s">
        <v>11</v>
      </c>
      <c r="K4" s="52" t="s">
        <v>454</v>
      </c>
      <c r="L4" s="52" t="s">
        <v>10</v>
      </c>
      <c r="M4" s="52" t="s">
        <v>10</v>
      </c>
      <c r="N4" s="52" t="s">
        <v>10</v>
      </c>
      <c r="O4" s="52" t="s">
        <v>10</v>
      </c>
      <c r="P4" s="50">
        <v>246</v>
      </c>
      <c r="Q4" s="53"/>
      <c r="R4" s="54">
        <v>5.0999999999999996</v>
      </c>
      <c r="S4" s="52" t="s">
        <v>345</v>
      </c>
      <c r="T4" s="52" t="s">
        <v>629</v>
      </c>
      <c r="U4" s="61">
        <v>34</v>
      </c>
    </row>
    <row r="5" spans="1:21" ht="15" customHeight="1">
      <c r="A5" s="60" t="s">
        <v>584</v>
      </c>
      <c r="B5" s="50">
        <v>2017</v>
      </c>
      <c r="C5" s="51" t="s">
        <v>206</v>
      </c>
      <c r="D5" s="74" t="s">
        <v>451</v>
      </c>
      <c r="E5" s="52" t="s">
        <v>585</v>
      </c>
      <c r="F5" s="52" t="s">
        <v>334</v>
      </c>
      <c r="G5" s="52" t="s">
        <v>446</v>
      </c>
      <c r="H5" s="52" t="s">
        <v>586</v>
      </c>
      <c r="I5" s="52" t="s">
        <v>447</v>
      </c>
      <c r="J5" s="52" t="s">
        <v>23</v>
      </c>
      <c r="K5" s="52" t="s">
        <v>454</v>
      </c>
      <c r="L5" s="52" t="s">
        <v>10</v>
      </c>
      <c r="M5" s="52" t="s">
        <v>10</v>
      </c>
      <c r="N5" s="52" t="s">
        <v>10</v>
      </c>
      <c r="O5" s="52" t="s">
        <v>10</v>
      </c>
      <c r="P5" s="50">
        <v>370</v>
      </c>
      <c r="Q5" s="53"/>
      <c r="R5" s="54">
        <v>3.4</v>
      </c>
      <c r="S5" s="52" t="s">
        <v>345</v>
      </c>
      <c r="T5" s="52" t="s">
        <v>629</v>
      </c>
      <c r="U5" s="61">
        <v>34</v>
      </c>
    </row>
    <row r="6" spans="1:21" ht="15" customHeight="1">
      <c r="A6" s="60" t="s">
        <v>584</v>
      </c>
      <c r="B6" s="50">
        <v>2017</v>
      </c>
      <c r="C6" s="52" t="s">
        <v>206</v>
      </c>
      <c r="D6" s="74" t="s">
        <v>451</v>
      </c>
      <c r="E6" s="52" t="s">
        <v>585</v>
      </c>
      <c r="F6" s="52" t="s">
        <v>334</v>
      </c>
      <c r="G6" s="52" t="s">
        <v>446</v>
      </c>
      <c r="H6" s="52" t="s">
        <v>586</v>
      </c>
      <c r="I6" s="52" t="s">
        <v>447</v>
      </c>
      <c r="J6" s="52" t="s">
        <v>16</v>
      </c>
      <c r="K6" s="52" t="s">
        <v>443</v>
      </c>
      <c r="L6" s="52" t="s">
        <v>10</v>
      </c>
      <c r="M6" s="52" t="s">
        <v>10</v>
      </c>
      <c r="N6" s="52" t="s">
        <v>10</v>
      </c>
      <c r="O6" s="52" t="s">
        <v>10</v>
      </c>
      <c r="P6" s="50">
        <v>176</v>
      </c>
      <c r="Q6" s="53"/>
      <c r="R6" s="54">
        <v>3</v>
      </c>
      <c r="S6" s="52" t="s">
        <v>345</v>
      </c>
      <c r="T6" s="52" t="s">
        <v>629</v>
      </c>
      <c r="U6" s="61">
        <v>34</v>
      </c>
    </row>
    <row r="7" spans="1:21" ht="15" customHeight="1">
      <c r="A7" s="60" t="s">
        <v>584</v>
      </c>
      <c r="B7" s="50">
        <v>2017</v>
      </c>
      <c r="C7" s="51" t="s">
        <v>206</v>
      </c>
      <c r="D7" s="74" t="s">
        <v>451</v>
      </c>
      <c r="E7" s="52" t="s">
        <v>585</v>
      </c>
      <c r="F7" s="52" t="s">
        <v>334</v>
      </c>
      <c r="G7" s="52" t="s">
        <v>446</v>
      </c>
      <c r="H7" s="52" t="s">
        <v>586</v>
      </c>
      <c r="I7" s="52" t="s">
        <v>447</v>
      </c>
      <c r="J7" s="52" t="s">
        <v>16</v>
      </c>
      <c r="K7" s="52" t="s">
        <v>454</v>
      </c>
      <c r="L7" s="52" t="s">
        <v>10</v>
      </c>
      <c r="M7" s="52" t="s">
        <v>10</v>
      </c>
      <c r="N7" s="52" t="s">
        <v>10</v>
      </c>
      <c r="O7" s="52" t="s">
        <v>10</v>
      </c>
      <c r="P7" s="50">
        <v>440</v>
      </c>
      <c r="Q7" s="53"/>
      <c r="R7" s="54">
        <v>4.5</v>
      </c>
      <c r="S7" s="52" t="s">
        <v>345</v>
      </c>
      <c r="T7" s="52" t="s">
        <v>629</v>
      </c>
      <c r="U7" s="61">
        <v>34</v>
      </c>
    </row>
    <row r="8" spans="1:21" ht="15" customHeight="1">
      <c r="A8" s="60" t="s">
        <v>587</v>
      </c>
      <c r="B8" s="50">
        <v>2016</v>
      </c>
      <c r="C8" s="52" t="s">
        <v>206</v>
      </c>
      <c r="D8" s="52" t="s">
        <v>411</v>
      </c>
      <c r="E8" s="52" t="s">
        <v>480</v>
      </c>
      <c r="F8" s="52" t="s">
        <v>337</v>
      </c>
      <c r="G8" s="52" t="s">
        <v>481</v>
      </c>
      <c r="H8" s="52" t="s">
        <v>588</v>
      </c>
      <c r="I8" s="52" t="s">
        <v>141</v>
      </c>
      <c r="J8" s="52" t="s">
        <v>11</v>
      </c>
      <c r="K8" s="52" t="s">
        <v>589</v>
      </c>
      <c r="L8" s="52" t="s">
        <v>10</v>
      </c>
      <c r="M8" s="52" t="s">
        <v>10</v>
      </c>
      <c r="N8" s="52" t="s">
        <v>10</v>
      </c>
      <c r="O8" s="52" t="s">
        <v>10</v>
      </c>
      <c r="P8" s="52" t="s">
        <v>590</v>
      </c>
      <c r="Q8" s="53"/>
      <c r="R8" s="54">
        <v>22.3</v>
      </c>
      <c r="S8" s="52" t="s">
        <v>345</v>
      </c>
      <c r="T8" s="52" t="s">
        <v>629</v>
      </c>
      <c r="U8" s="61">
        <v>40</v>
      </c>
    </row>
    <row r="9" spans="1:21" ht="15" customHeight="1">
      <c r="A9" s="60" t="s">
        <v>591</v>
      </c>
      <c r="B9" s="50">
        <v>2014</v>
      </c>
      <c r="C9" s="52" t="s">
        <v>206</v>
      </c>
      <c r="D9" s="52" t="s">
        <v>509</v>
      </c>
      <c r="E9" s="52" t="s">
        <v>510</v>
      </c>
      <c r="F9" s="52" t="s">
        <v>9</v>
      </c>
      <c r="G9" s="52" t="s">
        <v>128</v>
      </c>
      <c r="H9" s="52" t="s">
        <v>312</v>
      </c>
      <c r="I9" s="74" t="s">
        <v>640</v>
      </c>
      <c r="J9" s="52" t="s">
        <v>11</v>
      </c>
      <c r="K9" s="52" t="s">
        <v>470</v>
      </c>
      <c r="L9" s="52" t="s">
        <v>10</v>
      </c>
      <c r="M9" s="52" t="s">
        <v>10</v>
      </c>
      <c r="N9" s="52" t="s">
        <v>10</v>
      </c>
      <c r="O9" s="52" t="s">
        <v>10</v>
      </c>
      <c r="P9" s="55">
        <v>302</v>
      </c>
      <c r="Q9" s="50">
        <v>17</v>
      </c>
      <c r="R9" s="54">
        <f>Q9*100/P9</f>
        <v>5.629139072847682</v>
      </c>
      <c r="S9" s="52" t="s">
        <v>344</v>
      </c>
      <c r="T9" s="52" t="s">
        <v>592</v>
      </c>
      <c r="U9" s="61">
        <v>47</v>
      </c>
    </row>
    <row r="10" spans="1:21" ht="15" customHeight="1">
      <c r="A10" s="60" t="s">
        <v>527</v>
      </c>
      <c r="B10" s="50">
        <v>2016</v>
      </c>
      <c r="C10" s="51" t="s">
        <v>206</v>
      </c>
      <c r="D10" s="52" t="s">
        <v>522</v>
      </c>
      <c r="E10" s="52" t="s">
        <v>528</v>
      </c>
      <c r="F10" s="52" t="s">
        <v>9</v>
      </c>
      <c r="G10" s="52" t="s">
        <v>198</v>
      </c>
      <c r="H10" s="52" t="s">
        <v>594</v>
      </c>
      <c r="I10" s="52" t="s">
        <v>89</v>
      </c>
      <c r="J10" s="52" t="s">
        <v>11</v>
      </c>
      <c r="K10" s="52" t="s">
        <v>595</v>
      </c>
      <c r="L10" s="52" t="s">
        <v>10</v>
      </c>
      <c r="M10" s="52" t="s">
        <v>10</v>
      </c>
      <c r="N10" s="52" t="s">
        <v>10</v>
      </c>
      <c r="O10" s="52" t="s">
        <v>10</v>
      </c>
      <c r="P10" s="50">
        <v>191</v>
      </c>
      <c r="Q10" s="50">
        <v>15</v>
      </c>
      <c r="R10" s="54">
        <v>7.9</v>
      </c>
      <c r="S10" s="52" t="s">
        <v>344</v>
      </c>
      <c r="T10" s="52" t="s">
        <v>596</v>
      </c>
      <c r="U10" s="61">
        <v>50</v>
      </c>
    </row>
    <row r="11" spans="1:21" ht="15" customHeight="1">
      <c r="A11" s="60" t="s">
        <v>597</v>
      </c>
      <c r="B11" s="50">
        <v>2016</v>
      </c>
      <c r="C11" s="52" t="s">
        <v>206</v>
      </c>
      <c r="D11" s="52" t="s">
        <v>411</v>
      </c>
      <c r="E11" s="52" t="s">
        <v>559</v>
      </c>
      <c r="F11" s="52" t="s">
        <v>487</v>
      </c>
      <c r="G11" s="52" t="s">
        <v>88</v>
      </c>
      <c r="H11" s="52" t="s">
        <v>598</v>
      </c>
      <c r="I11" s="52" t="s">
        <v>447</v>
      </c>
      <c r="J11" s="52" t="s">
        <v>11</v>
      </c>
      <c r="K11" s="52" t="s">
        <v>599</v>
      </c>
      <c r="L11" s="52" t="s">
        <v>10</v>
      </c>
      <c r="M11" s="52" t="s">
        <v>10</v>
      </c>
      <c r="N11" s="52" t="s">
        <v>10</v>
      </c>
      <c r="O11" s="52" t="s">
        <v>10</v>
      </c>
      <c r="P11" s="50">
        <v>1114</v>
      </c>
      <c r="Q11" s="50">
        <v>107</v>
      </c>
      <c r="R11" s="54">
        <v>4</v>
      </c>
      <c r="S11" s="52" t="s">
        <v>344</v>
      </c>
      <c r="T11" s="52" t="s">
        <v>600</v>
      </c>
      <c r="U11" s="61">
        <v>56</v>
      </c>
    </row>
    <row r="12" spans="1:21" ht="15" customHeight="1">
      <c r="A12" s="60" t="s">
        <v>471</v>
      </c>
      <c r="B12" s="50">
        <v>2014</v>
      </c>
      <c r="C12" s="52" t="s">
        <v>206</v>
      </c>
      <c r="D12" s="52" t="s">
        <v>601</v>
      </c>
      <c r="E12" s="52" t="s">
        <v>472</v>
      </c>
      <c r="F12" s="52" t="s">
        <v>336</v>
      </c>
      <c r="G12" s="52" t="s">
        <v>316</v>
      </c>
      <c r="H12" s="52" t="s">
        <v>602</v>
      </c>
      <c r="I12" s="52" t="s">
        <v>473</v>
      </c>
      <c r="J12" s="52" t="s">
        <v>16</v>
      </c>
      <c r="K12" s="52" t="s">
        <v>474</v>
      </c>
      <c r="L12" s="52" t="s">
        <v>10</v>
      </c>
      <c r="M12" s="52" t="s">
        <v>10</v>
      </c>
      <c r="N12" s="52" t="s">
        <v>10</v>
      </c>
      <c r="O12" s="52" t="s">
        <v>10</v>
      </c>
      <c r="P12" s="50">
        <v>473</v>
      </c>
      <c r="Q12" s="50">
        <v>52</v>
      </c>
      <c r="R12" s="54">
        <v>7.7</v>
      </c>
      <c r="S12" s="52" t="s">
        <v>345</v>
      </c>
      <c r="T12" s="52" t="s">
        <v>603</v>
      </c>
      <c r="U12" s="61">
        <v>39</v>
      </c>
    </row>
    <row r="13" spans="1:21" ht="15" customHeight="1">
      <c r="A13" s="60" t="s">
        <v>207</v>
      </c>
      <c r="B13" s="50">
        <v>2015</v>
      </c>
      <c r="C13" s="51" t="s">
        <v>13</v>
      </c>
      <c r="D13" s="52" t="s">
        <v>14</v>
      </c>
      <c r="E13" s="52" t="s">
        <v>67</v>
      </c>
      <c r="F13" s="52" t="s">
        <v>9</v>
      </c>
      <c r="G13" s="52" t="s">
        <v>341</v>
      </c>
      <c r="H13" s="52" t="s">
        <v>342</v>
      </c>
      <c r="I13" s="52" t="s">
        <v>343</v>
      </c>
      <c r="J13" s="52" t="s">
        <v>16</v>
      </c>
      <c r="K13" s="52" t="s">
        <v>210</v>
      </c>
      <c r="L13" s="55">
        <f>133+122</f>
        <v>255</v>
      </c>
      <c r="M13" s="50">
        <f>18+27</f>
        <v>45</v>
      </c>
      <c r="N13" s="54">
        <f t="shared" ref="N13:N27" si="0">M13*100/L13</f>
        <v>17.647058823529413</v>
      </c>
      <c r="O13" s="52" t="s">
        <v>344</v>
      </c>
      <c r="P13" s="55">
        <f>197+192</f>
        <v>389</v>
      </c>
      <c r="Q13" s="50">
        <f>25+9</f>
        <v>34</v>
      </c>
      <c r="R13" s="54">
        <f t="shared" ref="R13:R27" si="1">Q13*100/P13</f>
        <v>8.7403598971722367</v>
      </c>
      <c r="S13" s="52" t="s">
        <v>344</v>
      </c>
      <c r="T13" s="52" t="s">
        <v>627</v>
      </c>
      <c r="U13" s="62">
        <v>94</v>
      </c>
    </row>
    <row r="14" spans="1:21" ht="15" customHeight="1">
      <c r="A14" s="60" t="s">
        <v>207</v>
      </c>
      <c r="B14" s="50">
        <v>2015</v>
      </c>
      <c r="C14" s="51" t="s">
        <v>13</v>
      </c>
      <c r="D14" s="52" t="s">
        <v>14</v>
      </c>
      <c r="E14" s="52" t="s">
        <v>67</v>
      </c>
      <c r="F14" s="52" t="s">
        <v>9</v>
      </c>
      <c r="G14" s="52" t="s">
        <v>341</v>
      </c>
      <c r="H14" s="52" t="s">
        <v>342</v>
      </c>
      <c r="I14" s="52" t="s">
        <v>343</v>
      </c>
      <c r="J14" s="52" t="s">
        <v>16</v>
      </c>
      <c r="K14" s="52" t="s">
        <v>211</v>
      </c>
      <c r="L14" s="55">
        <f>74+65</f>
        <v>139</v>
      </c>
      <c r="M14" s="50">
        <f>11+18</f>
        <v>29</v>
      </c>
      <c r="N14" s="54">
        <f t="shared" si="0"/>
        <v>20.863309352517987</v>
      </c>
      <c r="O14" s="52" t="s">
        <v>344</v>
      </c>
      <c r="P14" s="55">
        <v>201</v>
      </c>
      <c r="Q14" s="50">
        <f>8+14</f>
        <v>22</v>
      </c>
      <c r="R14" s="54">
        <f t="shared" si="1"/>
        <v>10.945273631840797</v>
      </c>
      <c r="S14" s="52" t="s">
        <v>344</v>
      </c>
      <c r="T14" s="52" t="s">
        <v>627</v>
      </c>
      <c r="U14" s="62">
        <v>94</v>
      </c>
    </row>
    <row r="15" spans="1:21" ht="15" customHeight="1">
      <c r="A15" s="60" t="s">
        <v>207</v>
      </c>
      <c r="B15" s="50">
        <v>2015</v>
      </c>
      <c r="C15" s="51" t="s">
        <v>13</v>
      </c>
      <c r="D15" s="52" t="s">
        <v>14</v>
      </c>
      <c r="E15" s="52" t="s">
        <v>67</v>
      </c>
      <c r="F15" s="52" t="s">
        <v>9</v>
      </c>
      <c r="G15" s="52" t="s">
        <v>341</v>
      </c>
      <c r="H15" s="52" t="s">
        <v>342</v>
      </c>
      <c r="I15" s="52" t="s">
        <v>343</v>
      </c>
      <c r="J15" s="52" t="s">
        <v>16</v>
      </c>
      <c r="K15" s="52" t="s">
        <v>212</v>
      </c>
      <c r="L15" s="55">
        <f>50</f>
        <v>50</v>
      </c>
      <c r="M15" s="50">
        <f>5+3</f>
        <v>8</v>
      </c>
      <c r="N15" s="54">
        <f t="shared" si="0"/>
        <v>16</v>
      </c>
      <c r="O15" s="52" t="s">
        <v>344</v>
      </c>
      <c r="P15" s="55">
        <v>83</v>
      </c>
      <c r="Q15" s="50">
        <f>8</f>
        <v>8</v>
      </c>
      <c r="R15" s="54">
        <f t="shared" si="1"/>
        <v>9.6385542168674707</v>
      </c>
      <c r="S15" s="52" t="s">
        <v>344</v>
      </c>
      <c r="T15" s="52" t="s">
        <v>627</v>
      </c>
      <c r="U15" s="62">
        <v>94</v>
      </c>
    </row>
    <row r="16" spans="1:21" ht="15" customHeight="1">
      <c r="A16" s="60" t="s">
        <v>207</v>
      </c>
      <c r="B16" s="50">
        <v>2015</v>
      </c>
      <c r="C16" s="51" t="s">
        <v>13</v>
      </c>
      <c r="D16" s="52" t="s">
        <v>14</v>
      </c>
      <c r="E16" s="52" t="s">
        <v>67</v>
      </c>
      <c r="F16" s="52" t="s">
        <v>9</v>
      </c>
      <c r="G16" s="52" t="s">
        <v>341</v>
      </c>
      <c r="H16" s="52" t="s">
        <v>342</v>
      </c>
      <c r="I16" s="52" t="s">
        <v>343</v>
      </c>
      <c r="J16" s="52" t="s">
        <v>16</v>
      </c>
      <c r="K16" s="52" t="s">
        <v>213</v>
      </c>
      <c r="L16" s="55">
        <v>49</v>
      </c>
      <c r="M16" s="50">
        <v>7</v>
      </c>
      <c r="N16" s="54">
        <f t="shared" si="0"/>
        <v>14.285714285714286</v>
      </c>
      <c r="O16" s="52" t="s">
        <v>344</v>
      </c>
      <c r="P16" s="55">
        <v>72</v>
      </c>
      <c r="Q16" s="50">
        <v>1</v>
      </c>
      <c r="R16" s="54">
        <f t="shared" si="1"/>
        <v>1.3888888888888888</v>
      </c>
      <c r="S16" s="52" t="s">
        <v>344</v>
      </c>
      <c r="T16" s="52" t="s">
        <v>627</v>
      </c>
      <c r="U16" s="62">
        <v>94</v>
      </c>
    </row>
    <row r="17" spans="1:21" ht="15" customHeight="1">
      <c r="A17" s="60" t="s">
        <v>207</v>
      </c>
      <c r="B17" s="50">
        <v>2015</v>
      </c>
      <c r="C17" s="51" t="s">
        <v>13</v>
      </c>
      <c r="D17" s="52" t="s">
        <v>14</v>
      </c>
      <c r="E17" s="52" t="s">
        <v>67</v>
      </c>
      <c r="F17" s="52" t="s">
        <v>9</v>
      </c>
      <c r="G17" s="52" t="s">
        <v>341</v>
      </c>
      <c r="H17" s="52" t="s">
        <v>342</v>
      </c>
      <c r="I17" s="52" t="s">
        <v>343</v>
      </c>
      <c r="J17" s="52" t="s">
        <v>16</v>
      </c>
      <c r="K17" s="52" t="s">
        <v>214</v>
      </c>
      <c r="L17" s="55">
        <v>17</v>
      </c>
      <c r="M17" s="50">
        <v>1</v>
      </c>
      <c r="N17" s="54">
        <f t="shared" si="0"/>
        <v>5.882352941176471</v>
      </c>
      <c r="O17" s="52" t="s">
        <v>344</v>
      </c>
      <c r="P17" s="55">
        <v>33</v>
      </c>
      <c r="Q17" s="50">
        <v>3</v>
      </c>
      <c r="R17" s="54">
        <f t="shared" si="1"/>
        <v>9.0909090909090917</v>
      </c>
      <c r="S17" s="52" t="s">
        <v>344</v>
      </c>
      <c r="T17" s="52" t="s">
        <v>627</v>
      </c>
      <c r="U17" s="62">
        <v>94</v>
      </c>
    </row>
    <row r="18" spans="1:21" ht="15" customHeight="1">
      <c r="A18" s="60" t="s">
        <v>207</v>
      </c>
      <c r="B18" s="50">
        <v>2015</v>
      </c>
      <c r="C18" s="51" t="s">
        <v>13</v>
      </c>
      <c r="D18" s="52" t="s">
        <v>14</v>
      </c>
      <c r="E18" s="52" t="s">
        <v>67</v>
      </c>
      <c r="F18" s="52" t="s">
        <v>9</v>
      </c>
      <c r="G18" s="52" t="s">
        <v>341</v>
      </c>
      <c r="H18" s="52" t="s">
        <v>342</v>
      </c>
      <c r="I18" s="52" t="s">
        <v>343</v>
      </c>
      <c r="J18" s="52" t="s">
        <v>23</v>
      </c>
      <c r="K18" s="52" t="s">
        <v>210</v>
      </c>
      <c r="L18" s="55">
        <v>133</v>
      </c>
      <c r="M18" s="50">
        <v>18</v>
      </c>
      <c r="N18" s="54">
        <f t="shared" si="0"/>
        <v>13.533834586466165</v>
      </c>
      <c r="O18" s="52" t="s">
        <v>344</v>
      </c>
      <c r="P18" s="55">
        <v>197</v>
      </c>
      <c r="Q18" s="50">
        <v>9</v>
      </c>
      <c r="R18" s="54">
        <f t="shared" si="1"/>
        <v>4.5685279187817258</v>
      </c>
      <c r="S18" s="52" t="s">
        <v>344</v>
      </c>
      <c r="T18" s="52" t="s">
        <v>627</v>
      </c>
      <c r="U18" s="62">
        <v>94</v>
      </c>
    </row>
    <row r="19" spans="1:21" ht="15" customHeight="1">
      <c r="A19" s="60" t="s">
        <v>207</v>
      </c>
      <c r="B19" s="50">
        <v>2015</v>
      </c>
      <c r="C19" s="51" t="s">
        <v>13</v>
      </c>
      <c r="D19" s="52" t="s">
        <v>14</v>
      </c>
      <c r="E19" s="52" t="s">
        <v>67</v>
      </c>
      <c r="F19" s="52" t="s">
        <v>9</v>
      </c>
      <c r="G19" s="52" t="s">
        <v>341</v>
      </c>
      <c r="H19" s="52" t="s">
        <v>342</v>
      </c>
      <c r="I19" s="52" t="s">
        <v>343</v>
      </c>
      <c r="J19" s="52" t="s">
        <v>23</v>
      </c>
      <c r="K19" s="52" t="s">
        <v>211</v>
      </c>
      <c r="L19" s="55">
        <v>74</v>
      </c>
      <c r="M19" s="50">
        <v>11</v>
      </c>
      <c r="N19" s="54">
        <f t="shared" si="0"/>
        <v>14.864864864864865</v>
      </c>
      <c r="O19" s="52" t="s">
        <v>344</v>
      </c>
      <c r="P19" s="55">
        <v>100</v>
      </c>
      <c r="Q19" s="50">
        <v>8</v>
      </c>
      <c r="R19" s="54">
        <f t="shared" si="1"/>
        <v>8</v>
      </c>
      <c r="S19" s="52" t="s">
        <v>344</v>
      </c>
      <c r="T19" s="52" t="s">
        <v>627</v>
      </c>
      <c r="U19" s="62">
        <v>94</v>
      </c>
    </row>
    <row r="20" spans="1:21" ht="15" customHeight="1">
      <c r="A20" s="60" t="s">
        <v>207</v>
      </c>
      <c r="B20" s="50">
        <v>2015</v>
      </c>
      <c r="C20" s="51" t="s">
        <v>13</v>
      </c>
      <c r="D20" s="52" t="s">
        <v>14</v>
      </c>
      <c r="E20" s="52" t="s">
        <v>67</v>
      </c>
      <c r="F20" s="52" t="s">
        <v>9</v>
      </c>
      <c r="G20" s="52" t="s">
        <v>341</v>
      </c>
      <c r="H20" s="52" t="s">
        <v>342</v>
      </c>
      <c r="I20" s="52" t="s">
        <v>343</v>
      </c>
      <c r="J20" s="52" t="s">
        <v>23</v>
      </c>
      <c r="K20" s="52" t="s">
        <v>212</v>
      </c>
      <c r="L20" s="55">
        <v>25</v>
      </c>
      <c r="M20" s="50">
        <v>5</v>
      </c>
      <c r="N20" s="54">
        <f t="shared" si="0"/>
        <v>20</v>
      </c>
      <c r="O20" s="52" t="s">
        <v>344</v>
      </c>
      <c r="P20" s="55">
        <v>41</v>
      </c>
      <c r="Q20" s="50">
        <v>1</v>
      </c>
      <c r="R20" s="54">
        <f t="shared" si="1"/>
        <v>2.4390243902439024</v>
      </c>
      <c r="S20" s="52" t="s">
        <v>344</v>
      </c>
      <c r="T20" s="52" t="s">
        <v>627</v>
      </c>
      <c r="U20" s="62">
        <v>94</v>
      </c>
    </row>
    <row r="21" spans="1:21" ht="15" customHeight="1">
      <c r="A21" s="60" t="s">
        <v>207</v>
      </c>
      <c r="B21" s="50">
        <v>2015</v>
      </c>
      <c r="C21" s="51" t="s">
        <v>13</v>
      </c>
      <c r="D21" s="52" t="s">
        <v>14</v>
      </c>
      <c r="E21" s="52" t="s">
        <v>67</v>
      </c>
      <c r="F21" s="52" t="s">
        <v>9</v>
      </c>
      <c r="G21" s="52" t="s">
        <v>341</v>
      </c>
      <c r="H21" s="52" t="s">
        <v>342</v>
      </c>
      <c r="I21" s="52" t="s">
        <v>343</v>
      </c>
      <c r="J21" s="52" t="s">
        <v>23</v>
      </c>
      <c r="K21" s="52" t="s">
        <v>213</v>
      </c>
      <c r="L21" s="55">
        <v>25</v>
      </c>
      <c r="M21" s="50">
        <v>2</v>
      </c>
      <c r="N21" s="54">
        <f t="shared" si="0"/>
        <v>8</v>
      </c>
      <c r="O21" s="52" t="s">
        <v>344</v>
      </c>
      <c r="P21" s="55">
        <v>37</v>
      </c>
      <c r="Q21" s="50">
        <v>0</v>
      </c>
      <c r="R21" s="54">
        <f t="shared" si="1"/>
        <v>0</v>
      </c>
      <c r="S21" s="52" t="s">
        <v>344</v>
      </c>
      <c r="T21" s="52" t="s">
        <v>627</v>
      </c>
      <c r="U21" s="62">
        <v>94</v>
      </c>
    </row>
    <row r="22" spans="1:21" ht="15" customHeight="1">
      <c r="A22" s="60" t="s">
        <v>207</v>
      </c>
      <c r="B22" s="50">
        <v>2015</v>
      </c>
      <c r="C22" s="51" t="s">
        <v>13</v>
      </c>
      <c r="D22" s="52" t="s">
        <v>14</v>
      </c>
      <c r="E22" s="52" t="s">
        <v>67</v>
      </c>
      <c r="F22" s="52" t="s">
        <v>9</v>
      </c>
      <c r="G22" s="52" t="s">
        <v>341</v>
      </c>
      <c r="H22" s="52" t="s">
        <v>342</v>
      </c>
      <c r="I22" s="52" t="s">
        <v>343</v>
      </c>
      <c r="J22" s="52" t="s">
        <v>23</v>
      </c>
      <c r="K22" s="52" t="s">
        <v>214</v>
      </c>
      <c r="L22" s="55">
        <v>9</v>
      </c>
      <c r="M22" s="50">
        <v>0</v>
      </c>
      <c r="N22" s="54">
        <f t="shared" si="0"/>
        <v>0</v>
      </c>
      <c r="O22" s="52" t="s">
        <v>344</v>
      </c>
      <c r="P22" s="55">
        <v>19</v>
      </c>
      <c r="Q22" s="50">
        <v>0</v>
      </c>
      <c r="R22" s="54">
        <f t="shared" si="1"/>
        <v>0</v>
      </c>
      <c r="S22" s="52" t="s">
        <v>344</v>
      </c>
      <c r="T22" s="52" t="s">
        <v>627</v>
      </c>
      <c r="U22" s="62">
        <v>94</v>
      </c>
    </row>
    <row r="23" spans="1:21" ht="15" customHeight="1">
      <c r="A23" s="60" t="s">
        <v>207</v>
      </c>
      <c r="B23" s="50">
        <v>2015</v>
      </c>
      <c r="C23" s="51" t="s">
        <v>13</v>
      </c>
      <c r="D23" s="52" t="s">
        <v>14</v>
      </c>
      <c r="E23" s="52" t="s">
        <v>67</v>
      </c>
      <c r="F23" s="52" t="s">
        <v>9</v>
      </c>
      <c r="G23" s="52" t="s">
        <v>341</v>
      </c>
      <c r="H23" s="52" t="s">
        <v>342</v>
      </c>
      <c r="I23" s="52" t="s">
        <v>343</v>
      </c>
      <c r="J23" s="52" t="s">
        <v>11</v>
      </c>
      <c r="K23" s="52" t="s">
        <v>210</v>
      </c>
      <c r="L23" s="55">
        <v>122</v>
      </c>
      <c r="M23" s="50">
        <v>27</v>
      </c>
      <c r="N23" s="54">
        <f t="shared" si="0"/>
        <v>22.131147540983605</v>
      </c>
      <c r="O23" s="52" t="s">
        <v>344</v>
      </c>
      <c r="P23" s="55">
        <v>192</v>
      </c>
      <c r="Q23" s="50">
        <v>25</v>
      </c>
      <c r="R23" s="54">
        <f t="shared" si="1"/>
        <v>13.020833333333334</v>
      </c>
      <c r="S23" s="52" t="s">
        <v>344</v>
      </c>
      <c r="T23" s="52" t="s">
        <v>627</v>
      </c>
      <c r="U23" s="62">
        <v>94</v>
      </c>
    </row>
    <row r="24" spans="1:21" ht="15" customHeight="1">
      <c r="A24" s="60" t="s">
        <v>207</v>
      </c>
      <c r="B24" s="50">
        <v>2015</v>
      </c>
      <c r="C24" s="51" t="s">
        <v>13</v>
      </c>
      <c r="D24" s="52" t="s">
        <v>14</v>
      </c>
      <c r="E24" s="52" t="s">
        <v>67</v>
      </c>
      <c r="F24" s="52" t="s">
        <v>9</v>
      </c>
      <c r="G24" s="52" t="s">
        <v>341</v>
      </c>
      <c r="H24" s="52" t="s">
        <v>342</v>
      </c>
      <c r="I24" s="52" t="s">
        <v>343</v>
      </c>
      <c r="J24" s="52" t="s">
        <v>11</v>
      </c>
      <c r="K24" s="52" t="s">
        <v>211</v>
      </c>
      <c r="L24" s="55">
        <v>65</v>
      </c>
      <c r="M24" s="50">
        <v>18</v>
      </c>
      <c r="N24" s="54">
        <f t="shared" si="0"/>
        <v>27.692307692307693</v>
      </c>
      <c r="O24" s="52" t="s">
        <v>344</v>
      </c>
      <c r="P24" s="55">
        <v>101</v>
      </c>
      <c r="Q24" s="50">
        <v>14</v>
      </c>
      <c r="R24" s="54">
        <f t="shared" si="1"/>
        <v>13.861386138613861</v>
      </c>
      <c r="S24" s="52" t="s">
        <v>344</v>
      </c>
      <c r="T24" s="52" t="s">
        <v>627</v>
      </c>
      <c r="U24" s="62">
        <v>94</v>
      </c>
    </row>
    <row r="25" spans="1:21" ht="15" customHeight="1">
      <c r="A25" s="60" t="s">
        <v>207</v>
      </c>
      <c r="B25" s="50">
        <v>2015</v>
      </c>
      <c r="C25" s="51" t="s">
        <v>13</v>
      </c>
      <c r="D25" s="52" t="s">
        <v>14</v>
      </c>
      <c r="E25" s="52" t="s">
        <v>67</v>
      </c>
      <c r="F25" s="52" t="s">
        <v>9</v>
      </c>
      <c r="G25" s="52" t="s">
        <v>341</v>
      </c>
      <c r="H25" s="52" t="s">
        <v>342</v>
      </c>
      <c r="I25" s="52" t="s">
        <v>343</v>
      </c>
      <c r="J25" s="52" t="s">
        <v>11</v>
      </c>
      <c r="K25" s="52" t="s">
        <v>212</v>
      </c>
      <c r="L25" s="55">
        <v>25</v>
      </c>
      <c r="M25" s="50">
        <v>3</v>
      </c>
      <c r="N25" s="54">
        <f t="shared" si="0"/>
        <v>12</v>
      </c>
      <c r="O25" s="52" t="s">
        <v>344</v>
      </c>
      <c r="P25" s="55">
        <v>42</v>
      </c>
      <c r="Q25" s="50">
        <v>7</v>
      </c>
      <c r="R25" s="54">
        <f t="shared" si="1"/>
        <v>16.666666666666668</v>
      </c>
      <c r="S25" s="52" t="s">
        <v>344</v>
      </c>
      <c r="T25" s="52" t="s">
        <v>627</v>
      </c>
      <c r="U25" s="62">
        <v>94</v>
      </c>
    </row>
    <row r="26" spans="1:21" ht="15" customHeight="1">
      <c r="A26" s="60" t="s">
        <v>207</v>
      </c>
      <c r="B26" s="50">
        <v>2015</v>
      </c>
      <c r="C26" s="51" t="s">
        <v>13</v>
      </c>
      <c r="D26" s="52" t="s">
        <v>14</v>
      </c>
      <c r="E26" s="52" t="s">
        <v>67</v>
      </c>
      <c r="F26" s="52" t="s">
        <v>9</v>
      </c>
      <c r="G26" s="52" t="s">
        <v>341</v>
      </c>
      <c r="H26" s="52" t="s">
        <v>342</v>
      </c>
      <c r="I26" s="52" t="s">
        <v>343</v>
      </c>
      <c r="J26" s="52" t="s">
        <v>11</v>
      </c>
      <c r="K26" s="52" t="s">
        <v>213</v>
      </c>
      <c r="L26" s="55">
        <v>24</v>
      </c>
      <c r="M26" s="50">
        <v>5</v>
      </c>
      <c r="N26" s="54">
        <f t="shared" si="0"/>
        <v>20.833333333333332</v>
      </c>
      <c r="O26" s="52" t="s">
        <v>344</v>
      </c>
      <c r="P26" s="55">
        <v>35</v>
      </c>
      <c r="Q26" s="50">
        <v>1</v>
      </c>
      <c r="R26" s="54">
        <f t="shared" si="1"/>
        <v>2.8571428571428572</v>
      </c>
      <c r="S26" s="52" t="s">
        <v>344</v>
      </c>
      <c r="T26" s="52" t="s">
        <v>627</v>
      </c>
      <c r="U26" s="62">
        <v>94</v>
      </c>
    </row>
    <row r="27" spans="1:21" ht="15" customHeight="1">
      <c r="A27" s="60" t="s">
        <v>207</v>
      </c>
      <c r="B27" s="50">
        <v>2015</v>
      </c>
      <c r="C27" s="51" t="s">
        <v>13</v>
      </c>
      <c r="D27" s="52" t="s">
        <v>14</v>
      </c>
      <c r="E27" s="52" t="s">
        <v>67</v>
      </c>
      <c r="F27" s="52" t="s">
        <v>9</v>
      </c>
      <c r="G27" s="52" t="s">
        <v>341</v>
      </c>
      <c r="H27" s="52" t="s">
        <v>342</v>
      </c>
      <c r="I27" s="52" t="s">
        <v>343</v>
      </c>
      <c r="J27" s="52" t="s">
        <v>11</v>
      </c>
      <c r="K27" s="52" t="s">
        <v>214</v>
      </c>
      <c r="L27" s="55">
        <v>8</v>
      </c>
      <c r="M27" s="50">
        <v>1</v>
      </c>
      <c r="N27" s="54">
        <f t="shared" si="0"/>
        <v>12.5</v>
      </c>
      <c r="O27" s="52" t="s">
        <v>344</v>
      </c>
      <c r="P27" s="55">
        <v>14</v>
      </c>
      <c r="Q27" s="50">
        <v>3</v>
      </c>
      <c r="R27" s="54">
        <f t="shared" si="1"/>
        <v>21.428571428571427</v>
      </c>
      <c r="S27" s="52" t="s">
        <v>344</v>
      </c>
      <c r="T27" s="52" t="s">
        <v>627</v>
      </c>
      <c r="U27" s="62">
        <v>94</v>
      </c>
    </row>
    <row r="28" spans="1:21" ht="15" customHeight="1">
      <c r="A28" s="60" t="s">
        <v>138</v>
      </c>
      <c r="B28" s="50">
        <v>2015</v>
      </c>
      <c r="C28" s="51" t="s">
        <v>605</v>
      </c>
      <c r="D28" s="52" t="s">
        <v>15</v>
      </c>
      <c r="E28" s="52" t="s">
        <v>346</v>
      </c>
      <c r="F28" s="52" t="s">
        <v>9</v>
      </c>
      <c r="G28" s="52" t="s">
        <v>140</v>
      </c>
      <c r="H28" s="52" t="s">
        <v>22</v>
      </c>
      <c r="I28" s="52" t="s">
        <v>89</v>
      </c>
      <c r="J28" s="52" t="s">
        <v>16</v>
      </c>
      <c r="K28" s="52" t="s">
        <v>142</v>
      </c>
      <c r="L28" s="52" t="s">
        <v>10</v>
      </c>
      <c r="M28" s="52" t="s">
        <v>10</v>
      </c>
      <c r="N28" s="52" t="s">
        <v>10</v>
      </c>
      <c r="O28" s="52" t="s">
        <v>10</v>
      </c>
      <c r="P28" s="50">
        <f>3969+3923</f>
        <v>7892</v>
      </c>
      <c r="Q28" s="53"/>
      <c r="R28" s="54">
        <v>25.6</v>
      </c>
      <c r="S28" s="52" t="s">
        <v>347</v>
      </c>
      <c r="T28" s="52" t="s">
        <v>628</v>
      </c>
      <c r="U28" s="62">
        <v>80</v>
      </c>
    </row>
    <row r="29" spans="1:21" ht="15" customHeight="1">
      <c r="A29" s="60" t="s">
        <v>138</v>
      </c>
      <c r="B29" s="50">
        <v>2015</v>
      </c>
      <c r="C29" s="51" t="s">
        <v>605</v>
      </c>
      <c r="D29" s="52" t="s">
        <v>15</v>
      </c>
      <c r="E29" s="52" t="s">
        <v>346</v>
      </c>
      <c r="F29" s="52" t="s">
        <v>9</v>
      </c>
      <c r="G29" s="52" t="s">
        <v>140</v>
      </c>
      <c r="H29" s="52" t="s">
        <v>22</v>
      </c>
      <c r="I29" s="52" t="s">
        <v>89</v>
      </c>
      <c r="J29" s="52" t="s">
        <v>16</v>
      </c>
      <c r="K29" s="52" t="s">
        <v>24</v>
      </c>
      <c r="L29" s="52" t="s">
        <v>10</v>
      </c>
      <c r="M29" s="52" t="s">
        <v>10</v>
      </c>
      <c r="N29" s="52" t="s">
        <v>10</v>
      </c>
      <c r="O29" s="52" t="s">
        <v>10</v>
      </c>
      <c r="P29" s="50">
        <f t="shared" ref="P29:P35" si="2">P37+P45</f>
        <v>1403</v>
      </c>
      <c r="Q29" s="53"/>
      <c r="R29" s="54">
        <v>9.2100000000000009</v>
      </c>
      <c r="S29" s="52" t="s">
        <v>347</v>
      </c>
      <c r="T29" s="52" t="s">
        <v>628</v>
      </c>
      <c r="U29" s="62">
        <v>80</v>
      </c>
    </row>
    <row r="30" spans="1:21" ht="15" customHeight="1">
      <c r="A30" s="60" t="s">
        <v>138</v>
      </c>
      <c r="B30" s="50">
        <v>2015</v>
      </c>
      <c r="C30" s="51" t="s">
        <v>605</v>
      </c>
      <c r="D30" s="52" t="s">
        <v>15</v>
      </c>
      <c r="E30" s="52" t="s">
        <v>346</v>
      </c>
      <c r="F30" s="52" t="s">
        <v>9</v>
      </c>
      <c r="G30" s="52" t="s">
        <v>140</v>
      </c>
      <c r="H30" s="52" t="s">
        <v>22</v>
      </c>
      <c r="I30" s="52" t="s">
        <v>89</v>
      </c>
      <c r="J30" s="52" t="s">
        <v>16</v>
      </c>
      <c r="K30" s="52" t="s">
        <v>25</v>
      </c>
      <c r="L30" s="52" t="s">
        <v>10</v>
      </c>
      <c r="M30" s="52" t="s">
        <v>10</v>
      </c>
      <c r="N30" s="52" t="s">
        <v>10</v>
      </c>
      <c r="O30" s="52" t="s">
        <v>10</v>
      </c>
      <c r="P30" s="50">
        <f t="shared" si="2"/>
        <v>1418</v>
      </c>
      <c r="Q30" s="53"/>
      <c r="R30" s="54">
        <v>16.91</v>
      </c>
      <c r="S30" s="52" t="s">
        <v>347</v>
      </c>
      <c r="T30" s="52" t="s">
        <v>628</v>
      </c>
      <c r="U30" s="62">
        <v>80</v>
      </c>
    </row>
    <row r="31" spans="1:21" ht="15" customHeight="1">
      <c r="A31" s="60" t="s">
        <v>138</v>
      </c>
      <c r="B31" s="50">
        <v>2015</v>
      </c>
      <c r="C31" s="51" t="s">
        <v>605</v>
      </c>
      <c r="D31" s="52" t="s">
        <v>15</v>
      </c>
      <c r="E31" s="52" t="s">
        <v>346</v>
      </c>
      <c r="F31" s="52" t="s">
        <v>9</v>
      </c>
      <c r="G31" s="52" t="s">
        <v>140</v>
      </c>
      <c r="H31" s="52" t="s">
        <v>22</v>
      </c>
      <c r="I31" s="52" t="s">
        <v>89</v>
      </c>
      <c r="J31" s="52" t="s">
        <v>16</v>
      </c>
      <c r="K31" s="52" t="s">
        <v>26</v>
      </c>
      <c r="L31" s="52" t="s">
        <v>10</v>
      </c>
      <c r="M31" s="52" t="s">
        <v>10</v>
      </c>
      <c r="N31" s="52" t="s">
        <v>10</v>
      </c>
      <c r="O31" s="52" t="s">
        <v>10</v>
      </c>
      <c r="P31" s="50">
        <f t="shared" si="2"/>
        <v>1317</v>
      </c>
      <c r="Q31" s="53"/>
      <c r="R31" s="54">
        <v>20.69</v>
      </c>
      <c r="S31" s="52" t="s">
        <v>347</v>
      </c>
      <c r="T31" s="52" t="s">
        <v>628</v>
      </c>
      <c r="U31" s="62">
        <v>80</v>
      </c>
    </row>
    <row r="32" spans="1:21" ht="15" customHeight="1">
      <c r="A32" s="60" t="s">
        <v>138</v>
      </c>
      <c r="B32" s="50">
        <v>2015</v>
      </c>
      <c r="C32" s="51" t="s">
        <v>605</v>
      </c>
      <c r="D32" s="52" t="s">
        <v>15</v>
      </c>
      <c r="E32" s="52" t="s">
        <v>346</v>
      </c>
      <c r="F32" s="52" t="s">
        <v>9</v>
      </c>
      <c r="G32" s="52" t="s">
        <v>140</v>
      </c>
      <c r="H32" s="52" t="s">
        <v>22</v>
      </c>
      <c r="I32" s="52" t="s">
        <v>89</v>
      </c>
      <c r="J32" s="52" t="s">
        <v>16</v>
      </c>
      <c r="K32" s="52" t="s">
        <v>27</v>
      </c>
      <c r="L32" s="52" t="s">
        <v>10</v>
      </c>
      <c r="M32" s="52" t="s">
        <v>10</v>
      </c>
      <c r="N32" s="52" t="s">
        <v>10</v>
      </c>
      <c r="O32" s="52" t="s">
        <v>10</v>
      </c>
      <c r="P32" s="50">
        <f t="shared" si="2"/>
        <v>1067</v>
      </c>
      <c r="Q32" s="53"/>
      <c r="R32" s="54">
        <v>30.15</v>
      </c>
      <c r="S32" s="52" t="s">
        <v>347</v>
      </c>
      <c r="T32" s="52" t="s">
        <v>628</v>
      </c>
      <c r="U32" s="62">
        <v>80</v>
      </c>
    </row>
    <row r="33" spans="1:21" ht="15" customHeight="1">
      <c r="A33" s="60" t="s">
        <v>138</v>
      </c>
      <c r="B33" s="50">
        <v>2015</v>
      </c>
      <c r="C33" s="51" t="s">
        <v>605</v>
      </c>
      <c r="D33" s="52" t="s">
        <v>15</v>
      </c>
      <c r="E33" s="52" t="s">
        <v>346</v>
      </c>
      <c r="F33" s="52" t="s">
        <v>9</v>
      </c>
      <c r="G33" s="52" t="s">
        <v>140</v>
      </c>
      <c r="H33" s="52" t="s">
        <v>22</v>
      </c>
      <c r="I33" s="52" t="s">
        <v>89</v>
      </c>
      <c r="J33" s="52" t="s">
        <v>16</v>
      </c>
      <c r="K33" s="52" t="s">
        <v>28</v>
      </c>
      <c r="L33" s="52" t="s">
        <v>10</v>
      </c>
      <c r="M33" s="52" t="s">
        <v>10</v>
      </c>
      <c r="N33" s="52" t="s">
        <v>10</v>
      </c>
      <c r="O33" s="52" t="s">
        <v>10</v>
      </c>
      <c r="P33" s="50">
        <f t="shared" si="2"/>
        <v>1063</v>
      </c>
      <c r="Q33" s="53"/>
      <c r="R33" s="54">
        <v>35.28</v>
      </c>
      <c r="S33" s="52" t="s">
        <v>347</v>
      </c>
      <c r="T33" s="52" t="s">
        <v>628</v>
      </c>
      <c r="U33" s="62">
        <v>80</v>
      </c>
    </row>
    <row r="34" spans="1:21" ht="15" customHeight="1">
      <c r="A34" s="60" t="s">
        <v>138</v>
      </c>
      <c r="B34" s="50">
        <v>2015</v>
      </c>
      <c r="C34" s="51" t="s">
        <v>605</v>
      </c>
      <c r="D34" s="52" t="s">
        <v>15</v>
      </c>
      <c r="E34" s="52" t="s">
        <v>346</v>
      </c>
      <c r="F34" s="52" t="s">
        <v>9</v>
      </c>
      <c r="G34" s="52" t="s">
        <v>140</v>
      </c>
      <c r="H34" s="52" t="s">
        <v>22</v>
      </c>
      <c r="I34" s="52" t="s">
        <v>89</v>
      </c>
      <c r="J34" s="52" t="s">
        <v>16</v>
      </c>
      <c r="K34" s="52" t="s">
        <v>72</v>
      </c>
      <c r="L34" s="52" t="s">
        <v>10</v>
      </c>
      <c r="M34" s="52" t="s">
        <v>10</v>
      </c>
      <c r="N34" s="52" t="s">
        <v>10</v>
      </c>
      <c r="O34" s="52" t="s">
        <v>10</v>
      </c>
      <c r="P34" s="50">
        <f t="shared" si="2"/>
        <v>869</v>
      </c>
      <c r="Q34" s="53"/>
      <c r="R34" s="54">
        <v>42.82</v>
      </c>
      <c r="S34" s="52" t="s">
        <v>347</v>
      </c>
      <c r="T34" s="52" t="s">
        <v>628</v>
      </c>
      <c r="U34" s="62">
        <v>80</v>
      </c>
    </row>
    <row r="35" spans="1:21" ht="15" customHeight="1">
      <c r="A35" s="60" t="s">
        <v>138</v>
      </c>
      <c r="B35" s="50">
        <v>2015</v>
      </c>
      <c r="C35" s="51" t="s">
        <v>605</v>
      </c>
      <c r="D35" s="52" t="s">
        <v>15</v>
      </c>
      <c r="E35" s="52" t="s">
        <v>346</v>
      </c>
      <c r="F35" s="52" t="s">
        <v>9</v>
      </c>
      <c r="G35" s="52" t="s">
        <v>140</v>
      </c>
      <c r="H35" s="52" t="s">
        <v>22</v>
      </c>
      <c r="I35" s="52" t="s">
        <v>89</v>
      </c>
      <c r="J35" s="52" t="s">
        <v>16</v>
      </c>
      <c r="K35" s="52" t="s">
        <v>73</v>
      </c>
      <c r="L35" s="52" t="s">
        <v>10</v>
      </c>
      <c r="M35" s="52" t="s">
        <v>10</v>
      </c>
      <c r="N35" s="52" t="s">
        <v>10</v>
      </c>
      <c r="O35" s="52" t="s">
        <v>10</v>
      </c>
      <c r="P35" s="50">
        <f t="shared" si="2"/>
        <v>755</v>
      </c>
      <c r="Q35" s="53"/>
      <c r="R35" s="54">
        <v>45.72</v>
      </c>
      <c r="S35" s="52" t="s">
        <v>347</v>
      </c>
      <c r="T35" s="52" t="s">
        <v>628</v>
      </c>
      <c r="U35" s="62">
        <v>80</v>
      </c>
    </row>
    <row r="36" spans="1:21" ht="15" customHeight="1">
      <c r="A36" s="60" t="s">
        <v>138</v>
      </c>
      <c r="B36" s="50">
        <v>2015</v>
      </c>
      <c r="C36" s="51" t="s">
        <v>605</v>
      </c>
      <c r="D36" s="52" t="s">
        <v>15</v>
      </c>
      <c r="E36" s="52" t="s">
        <v>346</v>
      </c>
      <c r="F36" s="52" t="s">
        <v>9</v>
      </c>
      <c r="G36" s="52" t="s">
        <v>140</v>
      </c>
      <c r="H36" s="52" t="s">
        <v>22</v>
      </c>
      <c r="I36" s="52" t="s">
        <v>89</v>
      </c>
      <c r="J36" s="52" t="s">
        <v>23</v>
      </c>
      <c r="K36" s="52" t="s">
        <v>142</v>
      </c>
      <c r="L36" s="52" t="s">
        <v>10</v>
      </c>
      <c r="M36" s="52" t="s">
        <v>10</v>
      </c>
      <c r="N36" s="52" t="s">
        <v>10</v>
      </c>
      <c r="O36" s="52" t="s">
        <v>10</v>
      </c>
      <c r="P36" s="50">
        <v>3923</v>
      </c>
      <c r="Q36" s="53"/>
      <c r="R36" s="54">
        <v>20.2</v>
      </c>
      <c r="S36" s="52" t="s">
        <v>347</v>
      </c>
      <c r="T36" s="52" t="s">
        <v>628</v>
      </c>
      <c r="U36" s="62">
        <v>80</v>
      </c>
    </row>
    <row r="37" spans="1:21" ht="15" customHeight="1">
      <c r="A37" s="63" t="s">
        <v>138</v>
      </c>
      <c r="B37" s="50">
        <v>2015</v>
      </c>
      <c r="C37" s="51" t="s">
        <v>605</v>
      </c>
      <c r="D37" s="52" t="s">
        <v>15</v>
      </c>
      <c r="E37" s="52" t="s">
        <v>346</v>
      </c>
      <c r="F37" s="52" t="s">
        <v>9</v>
      </c>
      <c r="G37" s="52" t="s">
        <v>140</v>
      </c>
      <c r="H37" s="52" t="s">
        <v>22</v>
      </c>
      <c r="I37" s="52" t="s">
        <v>89</v>
      </c>
      <c r="J37" s="52" t="s">
        <v>23</v>
      </c>
      <c r="K37" s="52" t="s">
        <v>24</v>
      </c>
      <c r="L37" s="52" t="s">
        <v>10</v>
      </c>
      <c r="M37" s="52" t="s">
        <v>10</v>
      </c>
      <c r="N37" s="52" t="s">
        <v>10</v>
      </c>
      <c r="O37" s="52" t="s">
        <v>10</v>
      </c>
      <c r="P37" s="50">
        <v>737</v>
      </c>
      <c r="Q37" s="53"/>
      <c r="R37" s="54">
        <v>6.62</v>
      </c>
      <c r="S37" s="52" t="s">
        <v>347</v>
      </c>
      <c r="T37" s="52" t="s">
        <v>628</v>
      </c>
      <c r="U37" s="62">
        <v>80</v>
      </c>
    </row>
    <row r="38" spans="1:21" ht="15" customHeight="1">
      <c r="A38" s="60" t="s">
        <v>138</v>
      </c>
      <c r="B38" s="50">
        <v>2015</v>
      </c>
      <c r="C38" s="51" t="s">
        <v>605</v>
      </c>
      <c r="D38" s="52" t="s">
        <v>15</v>
      </c>
      <c r="E38" s="52" t="s">
        <v>346</v>
      </c>
      <c r="F38" s="52" t="s">
        <v>9</v>
      </c>
      <c r="G38" s="52" t="s">
        <v>140</v>
      </c>
      <c r="H38" s="52" t="s">
        <v>22</v>
      </c>
      <c r="I38" s="52" t="s">
        <v>89</v>
      </c>
      <c r="J38" s="52" t="s">
        <v>23</v>
      </c>
      <c r="K38" s="52" t="s">
        <v>25</v>
      </c>
      <c r="L38" s="52" t="s">
        <v>10</v>
      </c>
      <c r="M38" s="52" t="s">
        <v>10</v>
      </c>
      <c r="N38" s="52" t="s">
        <v>10</v>
      </c>
      <c r="O38" s="52" t="s">
        <v>10</v>
      </c>
      <c r="P38" s="50">
        <v>672</v>
      </c>
      <c r="Q38" s="53"/>
      <c r="R38" s="54">
        <v>10.3</v>
      </c>
      <c r="S38" s="52" t="s">
        <v>347</v>
      </c>
      <c r="T38" s="52" t="s">
        <v>628</v>
      </c>
      <c r="U38" s="62">
        <v>80</v>
      </c>
    </row>
    <row r="39" spans="1:21" ht="15" customHeight="1">
      <c r="A39" s="60" t="s">
        <v>138</v>
      </c>
      <c r="B39" s="50">
        <v>2015</v>
      </c>
      <c r="C39" s="51" t="s">
        <v>605</v>
      </c>
      <c r="D39" s="52" t="s">
        <v>15</v>
      </c>
      <c r="E39" s="52" t="s">
        <v>346</v>
      </c>
      <c r="F39" s="52" t="s">
        <v>9</v>
      </c>
      <c r="G39" s="52" t="s">
        <v>140</v>
      </c>
      <c r="H39" s="52" t="s">
        <v>22</v>
      </c>
      <c r="I39" s="52" t="s">
        <v>89</v>
      </c>
      <c r="J39" s="52" t="s">
        <v>23</v>
      </c>
      <c r="K39" s="52" t="s">
        <v>26</v>
      </c>
      <c r="L39" s="52" t="s">
        <v>10</v>
      </c>
      <c r="M39" s="52" t="s">
        <v>10</v>
      </c>
      <c r="N39" s="52" t="s">
        <v>10</v>
      </c>
      <c r="O39" s="52" t="s">
        <v>10</v>
      </c>
      <c r="P39" s="50">
        <v>652</v>
      </c>
      <c r="Q39" s="53"/>
      <c r="R39" s="54">
        <v>16.78</v>
      </c>
      <c r="S39" s="52" t="s">
        <v>347</v>
      </c>
      <c r="T39" s="52" t="s">
        <v>628</v>
      </c>
      <c r="U39" s="62">
        <v>80</v>
      </c>
    </row>
    <row r="40" spans="1:21" ht="15" customHeight="1">
      <c r="A40" s="60" t="s">
        <v>138</v>
      </c>
      <c r="B40" s="50">
        <v>2015</v>
      </c>
      <c r="C40" s="51" t="s">
        <v>605</v>
      </c>
      <c r="D40" s="52" t="s">
        <v>15</v>
      </c>
      <c r="E40" s="52" t="s">
        <v>346</v>
      </c>
      <c r="F40" s="52" t="s">
        <v>9</v>
      </c>
      <c r="G40" s="52" t="s">
        <v>140</v>
      </c>
      <c r="H40" s="52" t="s">
        <v>22</v>
      </c>
      <c r="I40" s="52" t="s">
        <v>89</v>
      </c>
      <c r="J40" s="52" t="s">
        <v>23</v>
      </c>
      <c r="K40" s="52" t="s">
        <v>27</v>
      </c>
      <c r="L40" s="52" t="s">
        <v>10</v>
      </c>
      <c r="M40" s="52" t="s">
        <v>10</v>
      </c>
      <c r="N40" s="52" t="s">
        <v>10</v>
      </c>
      <c r="O40" s="52" t="s">
        <v>10</v>
      </c>
      <c r="P40" s="50">
        <v>514</v>
      </c>
      <c r="Q40" s="53"/>
      <c r="R40" s="54">
        <v>25.1</v>
      </c>
      <c r="S40" s="52" t="s">
        <v>347</v>
      </c>
      <c r="T40" s="52" t="s">
        <v>628</v>
      </c>
      <c r="U40" s="62">
        <v>80</v>
      </c>
    </row>
    <row r="41" spans="1:21" ht="15" customHeight="1">
      <c r="A41" s="60" t="s">
        <v>138</v>
      </c>
      <c r="B41" s="50">
        <v>2015</v>
      </c>
      <c r="C41" s="51" t="s">
        <v>605</v>
      </c>
      <c r="D41" s="52" t="s">
        <v>15</v>
      </c>
      <c r="E41" s="52" t="s">
        <v>346</v>
      </c>
      <c r="F41" s="52" t="s">
        <v>9</v>
      </c>
      <c r="G41" s="52" t="s">
        <v>140</v>
      </c>
      <c r="H41" s="52" t="s">
        <v>22</v>
      </c>
      <c r="I41" s="52" t="s">
        <v>89</v>
      </c>
      <c r="J41" s="52" t="s">
        <v>23</v>
      </c>
      <c r="K41" s="52" t="s">
        <v>28</v>
      </c>
      <c r="L41" s="52" t="s">
        <v>10</v>
      </c>
      <c r="M41" s="52" t="s">
        <v>10</v>
      </c>
      <c r="N41" s="52" t="s">
        <v>10</v>
      </c>
      <c r="O41" s="52" t="s">
        <v>10</v>
      </c>
      <c r="P41" s="50">
        <v>522</v>
      </c>
      <c r="Q41" s="53"/>
      <c r="R41" s="54">
        <v>25.87</v>
      </c>
      <c r="S41" s="52" t="s">
        <v>347</v>
      </c>
      <c r="T41" s="52" t="s">
        <v>628</v>
      </c>
      <c r="U41" s="62">
        <v>80</v>
      </c>
    </row>
    <row r="42" spans="1:21" ht="15" customHeight="1">
      <c r="A42" s="60" t="s">
        <v>138</v>
      </c>
      <c r="B42" s="50">
        <v>2015</v>
      </c>
      <c r="C42" s="51" t="s">
        <v>605</v>
      </c>
      <c r="D42" s="52" t="s">
        <v>15</v>
      </c>
      <c r="E42" s="52" t="s">
        <v>346</v>
      </c>
      <c r="F42" s="52" t="s">
        <v>9</v>
      </c>
      <c r="G42" s="52" t="s">
        <v>140</v>
      </c>
      <c r="H42" s="52" t="s">
        <v>22</v>
      </c>
      <c r="I42" s="52" t="s">
        <v>89</v>
      </c>
      <c r="J42" s="52" t="s">
        <v>23</v>
      </c>
      <c r="K42" s="52" t="s">
        <v>72</v>
      </c>
      <c r="L42" s="52" t="s">
        <v>10</v>
      </c>
      <c r="M42" s="52" t="s">
        <v>10</v>
      </c>
      <c r="N42" s="52" t="s">
        <v>10</v>
      </c>
      <c r="O42" s="52" t="s">
        <v>10</v>
      </c>
      <c r="P42" s="50">
        <v>402</v>
      </c>
      <c r="Q42" s="53"/>
      <c r="R42" s="54">
        <v>31.7</v>
      </c>
      <c r="S42" s="52" t="s">
        <v>347</v>
      </c>
      <c r="T42" s="52" t="s">
        <v>628</v>
      </c>
      <c r="U42" s="62">
        <v>80</v>
      </c>
    </row>
    <row r="43" spans="1:21" ht="15" customHeight="1">
      <c r="A43" s="60" t="s">
        <v>138</v>
      </c>
      <c r="B43" s="50">
        <v>2015</v>
      </c>
      <c r="C43" s="51" t="s">
        <v>605</v>
      </c>
      <c r="D43" s="52" t="s">
        <v>15</v>
      </c>
      <c r="E43" s="52" t="s">
        <v>346</v>
      </c>
      <c r="F43" s="52" t="s">
        <v>9</v>
      </c>
      <c r="G43" s="52" t="s">
        <v>140</v>
      </c>
      <c r="H43" s="52" t="s">
        <v>22</v>
      </c>
      <c r="I43" s="52" t="s">
        <v>89</v>
      </c>
      <c r="J43" s="52" t="s">
        <v>23</v>
      </c>
      <c r="K43" s="52" t="s">
        <v>73</v>
      </c>
      <c r="L43" s="52" t="s">
        <v>10</v>
      </c>
      <c r="M43" s="52" t="s">
        <v>10</v>
      </c>
      <c r="N43" s="52" t="s">
        <v>10</v>
      </c>
      <c r="O43" s="52" t="s">
        <v>10</v>
      </c>
      <c r="P43" s="50">
        <v>424</v>
      </c>
      <c r="Q43" s="53"/>
      <c r="R43" s="54">
        <v>44.82</v>
      </c>
      <c r="S43" s="52" t="s">
        <v>347</v>
      </c>
      <c r="T43" s="52" t="s">
        <v>628</v>
      </c>
      <c r="U43" s="62">
        <v>80</v>
      </c>
    </row>
    <row r="44" spans="1:21" ht="15" customHeight="1">
      <c r="A44" s="60" t="s">
        <v>138</v>
      </c>
      <c r="B44" s="50">
        <v>2015</v>
      </c>
      <c r="C44" s="51" t="s">
        <v>605</v>
      </c>
      <c r="D44" s="52" t="s">
        <v>15</v>
      </c>
      <c r="E44" s="52" t="s">
        <v>346</v>
      </c>
      <c r="F44" s="52" t="s">
        <v>9</v>
      </c>
      <c r="G44" s="52" t="s">
        <v>140</v>
      </c>
      <c r="H44" s="52" t="s">
        <v>22</v>
      </c>
      <c r="I44" s="52" t="s">
        <v>89</v>
      </c>
      <c r="J44" s="52" t="s">
        <v>11</v>
      </c>
      <c r="K44" s="52" t="s">
        <v>142</v>
      </c>
      <c r="L44" s="52" t="s">
        <v>10</v>
      </c>
      <c r="M44" s="52" t="s">
        <v>10</v>
      </c>
      <c r="N44" s="52" t="s">
        <v>10</v>
      </c>
      <c r="O44" s="52" t="s">
        <v>10</v>
      </c>
      <c r="P44" s="50">
        <v>3969</v>
      </c>
      <c r="Q44" s="53"/>
      <c r="R44" s="54">
        <v>31.1</v>
      </c>
      <c r="S44" s="52" t="s">
        <v>347</v>
      </c>
      <c r="T44" s="52" t="s">
        <v>628</v>
      </c>
      <c r="U44" s="62">
        <v>80</v>
      </c>
    </row>
    <row r="45" spans="1:21" ht="15" customHeight="1">
      <c r="A45" s="63" t="s">
        <v>138</v>
      </c>
      <c r="B45" s="50">
        <v>2015</v>
      </c>
      <c r="C45" s="51" t="s">
        <v>605</v>
      </c>
      <c r="D45" s="52" t="s">
        <v>15</v>
      </c>
      <c r="E45" s="52" t="s">
        <v>346</v>
      </c>
      <c r="F45" s="52" t="s">
        <v>9</v>
      </c>
      <c r="G45" s="52" t="s">
        <v>140</v>
      </c>
      <c r="H45" s="52" t="s">
        <v>22</v>
      </c>
      <c r="I45" s="52" t="s">
        <v>89</v>
      </c>
      <c r="J45" s="52" t="s">
        <v>11</v>
      </c>
      <c r="K45" s="52" t="s">
        <v>24</v>
      </c>
      <c r="L45" s="52" t="s">
        <v>10</v>
      </c>
      <c r="M45" s="52" t="s">
        <v>10</v>
      </c>
      <c r="N45" s="52" t="s">
        <v>10</v>
      </c>
      <c r="O45" s="52" t="s">
        <v>10</v>
      </c>
      <c r="P45" s="50">
        <v>666</v>
      </c>
      <c r="Q45" s="53"/>
      <c r="R45" s="54">
        <v>12.12</v>
      </c>
      <c r="S45" s="52" t="s">
        <v>347</v>
      </c>
      <c r="T45" s="52" t="s">
        <v>628</v>
      </c>
      <c r="U45" s="62">
        <v>80</v>
      </c>
    </row>
    <row r="46" spans="1:21" ht="15" customHeight="1">
      <c r="A46" s="60" t="s">
        <v>138</v>
      </c>
      <c r="B46" s="50">
        <v>2015</v>
      </c>
      <c r="C46" s="51" t="s">
        <v>605</v>
      </c>
      <c r="D46" s="52" t="s">
        <v>15</v>
      </c>
      <c r="E46" s="52" t="s">
        <v>346</v>
      </c>
      <c r="F46" s="52" t="s">
        <v>9</v>
      </c>
      <c r="G46" s="52" t="s">
        <v>140</v>
      </c>
      <c r="H46" s="52" t="s">
        <v>22</v>
      </c>
      <c r="I46" s="52" t="s">
        <v>89</v>
      </c>
      <c r="J46" s="52" t="s">
        <v>11</v>
      </c>
      <c r="K46" s="52" t="s">
        <v>25</v>
      </c>
      <c r="L46" s="52" t="s">
        <v>10</v>
      </c>
      <c r="M46" s="52" t="s">
        <v>10</v>
      </c>
      <c r="N46" s="52" t="s">
        <v>10</v>
      </c>
      <c r="O46" s="52" t="s">
        <v>10</v>
      </c>
      <c r="P46" s="50">
        <v>746</v>
      </c>
      <c r="Q46" s="53"/>
      <c r="R46" s="54">
        <v>23.08</v>
      </c>
      <c r="S46" s="52" t="s">
        <v>347</v>
      </c>
      <c r="T46" s="52" t="s">
        <v>628</v>
      </c>
      <c r="U46" s="62">
        <v>80</v>
      </c>
    </row>
    <row r="47" spans="1:21" ht="15" customHeight="1">
      <c r="A47" s="60" t="s">
        <v>138</v>
      </c>
      <c r="B47" s="50">
        <v>2015</v>
      </c>
      <c r="C47" s="51" t="s">
        <v>605</v>
      </c>
      <c r="D47" s="52" t="s">
        <v>15</v>
      </c>
      <c r="E47" s="52" t="s">
        <v>346</v>
      </c>
      <c r="F47" s="52" t="s">
        <v>9</v>
      </c>
      <c r="G47" s="52" t="s">
        <v>140</v>
      </c>
      <c r="H47" s="52" t="s">
        <v>22</v>
      </c>
      <c r="I47" s="52" t="s">
        <v>89</v>
      </c>
      <c r="J47" s="52" t="s">
        <v>11</v>
      </c>
      <c r="K47" s="52" t="s">
        <v>26</v>
      </c>
      <c r="L47" s="52" t="s">
        <v>10</v>
      </c>
      <c r="M47" s="52" t="s">
        <v>10</v>
      </c>
      <c r="N47" s="52" t="s">
        <v>10</v>
      </c>
      <c r="O47" s="52" t="s">
        <v>10</v>
      </c>
      <c r="P47" s="50">
        <v>665</v>
      </c>
      <c r="Q47" s="53"/>
      <c r="R47" s="54">
        <v>24.63</v>
      </c>
      <c r="S47" s="52" t="s">
        <v>347</v>
      </c>
      <c r="T47" s="52" t="s">
        <v>628</v>
      </c>
      <c r="U47" s="62">
        <v>80</v>
      </c>
    </row>
    <row r="48" spans="1:21" ht="15" customHeight="1">
      <c r="A48" s="60" t="s">
        <v>138</v>
      </c>
      <c r="B48" s="50">
        <v>2015</v>
      </c>
      <c r="C48" s="51" t="s">
        <v>605</v>
      </c>
      <c r="D48" s="52" t="s">
        <v>15</v>
      </c>
      <c r="E48" s="52" t="s">
        <v>346</v>
      </c>
      <c r="F48" s="52" t="s">
        <v>9</v>
      </c>
      <c r="G48" s="52" t="s">
        <v>140</v>
      </c>
      <c r="H48" s="52" t="s">
        <v>22</v>
      </c>
      <c r="I48" s="52" t="s">
        <v>89</v>
      </c>
      <c r="J48" s="52" t="s">
        <v>11</v>
      </c>
      <c r="K48" s="52" t="s">
        <v>27</v>
      </c>
      <c r="L48" s="52" t="s">
        <v>10</v>
      </c>
      <c r="M48" s="52" t="s">
        <v>10</v>
      </c>
      <c r="N48" s="52" t="s">
        <v>10</v>
      </c>
      <c r="O48" s="52" t="s">
        <v>10</v>
      </c>
      <c r="P48" s="50">
        <v>553</v>
      </c>
      <c r="Q48" s="53"/>
      <c r="R48" s="54">
        <v>34.97</v>
      </c>
      <c r="S48" s="52" t="s">
        <v>347</v>
      </c>
      <c r="T48" s="52" t="s">
        <v>628</v>
      </c>
      <c r="U48" s="62">
        <v>80</v>
      </c>
    </row>
    <row r="49" spans="1:21" ht="15" customHeight="1">
      <c r="A49" s="60" t="s">
        <v>138</v>
      </c>
      <c r="B49" s="50">
        <v>2015</v>
      </c>
      <c r="C49" s="51" t="s">
        <v>605</v>
      </c>
      <c r="D49" s="52" t="s">
        <v>15</v>
      </c>
      <c r="E49" s="52" t="s">
        <v>346</v>
      </c>
      <c r="F49" s="52" t="s">
        <v>9</v>
      </c>
      <c r="G49" s="52" t="s">
        <v>140</v>
      </c>
      <c r="H49" s="52" t="s">
        <v>22</v>
      </c>
      <c r="I49" s="52" t="s">
        <v>89</v>
      </c>
      <c r="J49" s="52" t="s">
        <v>11</v>
      </c>
      <c r="K49" s="52" t="s">
        <v>28</v>
      </c>
      <c r="L49" s="52" t="s">
        <v>10</v>
      </c>
      <c r="M49" s="52" t="s">
        <v>10</v>
      </c>
      <c r="N49" s="52" t="s">
        <v>10</v>
      </c>
      <c r="O49" s="52" t="s">
        <v>10</v>
      </c>
      <c r="P49" s="50">
        <v>541</v>
      </c>
      <c r="Q49" s="53"/>
      <c r="R49" s="54">
        <v>44.85</v>
      </c>
      <c r="S49" s="52" t="s">
        <v>347</v>
      </c>
      <c r="T49" s="52" t="s">
        <v>628</v>
      </c>
      <c r="U49" s="62">
        <v>80</v>
      </c>
    </row>
    <row r="50" spans="1:21" ht="15" customHeight="1">
      <c r="A50" s="60" t="s">
        <v>138</v>
      </c>
      <c r="B50" s="50">
        <v>2015</v>
      </c>
      <c r="C50" s="51" t="s">
        <v>605</v>
      </c>
      <c r="D50" s="52" t="s">
        <v>15</v>
      </c>
      <c r="E50" s="52" t="s">
        <v>346</v>
      </c>
      <c r="F50" s="52" t="s">
        <v>9</v>
      </c>
      <c r="G50" s="52" t="s">
        <v>140</v>
      </c>
      <c r="H50" s="52" t="s">
        <v>22</v>
      </c>
      <c r="I50" s="52" t="s">
        <v>89</v>
      </c>
      <c r="J50" s="52" t="s">
        <v>11</v>
      </c>
      <c r="K50" s="52" t="s">
        <v>72</v>
      </c>
      <c r="L50" s="52" t="s">
        <v>10</v>
      </c>
      <c r="M50" s="52" t="s">
        <v>10</v>
      </c>
      <c r="N50" s="52" t="s">
        <v>10</v>
      </c>
      <c r="O50" s="52" t="s">
        <v>10</v>
      </c>
      <c r="P50" s="50">
        <v>467</v>
      </c>
      <c r="Q50" s="53"/>
      <c r="R50" s="54">
        <v>52.96</v>
      </c>
      <c r="S50" s="52" t="s">
        <v>347</v>
      </c>
      <c r="T50" s="52" t="s">
        <v>628</v>
      </c>
      <c r="U50" s="62">
        <v>80</v>
      </c>
    </row>
    <row r="51" spans="1:21" ht="15" customHeight="1">
      <c r="A51" s="60" t="s">
        <v>138</v>
      </c>
      <c r="B51" s="50">
        <v>2015</v>
      </c>
      <c r="C51" s="51" t="s">
        <v>605</v>
      </c>
      <c r="D51" s="52" t="s">
        <v>15</v>
      </c>
      <c r="E51" s="52" t="s">
        <v>346</v>
      </c>
      <c r="F51" s="52" t="s">
        <v>9</v>
      </c>
      <c r="G51" s="52" t="s">
        <v>140</v>
      </c>
      <c r="H51" s="52" t="s">
        <v>22</v>
      </c>
      <c r="I51" s="52" t="s">
        <v>89</v>
      </c>
      <c r="J51" s="52" t="s">
        <v>11</v>
      </c>
      <c r="K51" s="52" t="s">
        <v>73</v>
      </c>
      <c r="L51" s="52" t="s">
        <v>10</v>
      </c>
      <c r="M51" s="52" t="s">
        <v>10</v>
      </c>
      <c r="N51" s="52" t="s">
        <v>10</v>
      </c>
      <c r="O51" s="52" t="s">
        <v>10</v>
      </c>
      <c r="P51" s="50">
        <v>331</v>
      </c>
      <c r="Q51" s="53"/>
      <c r="R51" s="54">
        <v>46.89</v>
      </c>
      <c r="S51" s="52" t="s">
        <v>347</v>
      </c>
      <c r="T51" s="52" t="s">
        <v>628</v>
      </c>
      <c r="U51" s="62">
        <v>80</v>
      </c>
    </row>
    <row r="52" spans="1:21" ht="15" customHeight="1">
      <c r="A52" s="60" t="s">
        <v>348</v>
      </c>
      <c r="B52" s="50">
        <v>2017</v>
      </c>
      <c r="C52" s="52" t="s">
        <v>605</v>
      </c>
      <c r="D52" s="52" t="s">
        <v>115</v>
      </c>
      <c r="E52" s="52" t="s">
        <v>349</v>
      </c>
      <c r="F52" s="52" t="s">
        <v>117</v>
      </c>
      <c r="G52" s="52" t="s">
        <v>350</v>
      </c>
      <c r="H52" s="52" t="s">
        <v>22</v>
      </c>
      <c r="I52" s="52" t="s">
        <v>351</v>
      </c>
      <c r="J52" s="52" t="s">
        <v>16</v>
      </c>
      <c r="K52" s="52" t="s">
        <v>120</v>
      </c>
      <c r="L52" s="52" t="s">
        <v>10</v>
      </c>
      <c r="M52" s="52" t="s">
        <v>10</v>
      </c>
      <c r="N52" s="52" t="s">
        <v>10</v>
      </c>
      <c r="O52" s="52" t="s">
        <v>10</v>
      </c>
      <c r="P52" s="50">
        <f>807+794+227+218</f>
        <v>2046</v>
      </c>
      <c r="Q52" s="50">
        <f>11+11+32+37</f>
        <v>91</v>
      </c>
      <c r="R52" s="54">
        <f>Q52*100/P52</f>
        <v>4.4477028347996086</v>
      </c>
      <c r="S52" s="52" t="s">
        <v>344</v>
      </c>
      <c r="T52" s="78" t="s">
        <v>631</v>
      </c>
      <c r="U52" s="62">
        <v>76</v>
      </c>
    </row>
    <row r="53" spans="1:21" ht="15" customHeight="1">
      <c r="A53" s="60" t="s">
        <v>352</v>
      </c>
      <c r="B53" s="50">
        <v>2013</v>
      </c>
      <c r="C53" s="52" t="s">
        <v>604</v>
      </c>
      <c r="D53" s="52" t="s">
        <v>353</v>
      </c>
      <c r="E53" s="52" t="s">
        <v>354</v>
      </c>
      <c r="F53" s="52" t="s">
        <v>355</v>
      </c>
      <c r="G53" s="52" t="s">
        <v>356</v>
      </c>
      <c r="H53" s="52" t="s">
        <v>22</v>
      </c>
      <c r="I53" s="52" t="s">
        <v>9</v>
      </c>
      <c r="J53" s="52" t="s">
        <v>16</v>
      </c>
      <c r="K53" s="52" t="s">
        <v>357</v>
      </c>
      <c r="L53" s="52" t="s">
        <v>10</v>
      </c>
      <c r="M53" s="52" t="s">
        <v>10</v>
      </c>
      <c r="N53" s="52" t="s">
        <v>10</v>
      </c>
      <c r="O53" s="52" t="s">
        <v>10</v>
      </c>
      <c r="P53" s="50">
        <f>363+341</f>
        <v>704</v>
      </c>
      <c r="Q53" s="50">
        <v>25</v>
      </c>
      <c r="R53" s="54">
        <f>Q53*100/P53</f>
        <v>3.5511363636363638</v>
      </c>
      <c r="S53" s="52" t="s">
        <v>344</v>
      </c>
      <c r="T53" s="74" t="s">
        <v>626</v>
      </c>
      <c r="U53" s="62">
        <v>120</v>
      </c>
    </row>
    <row r="54" spans="1:21" ht="15" customHeight="1">
      <c r="A54" s="60" t="s">
        <v>352</v>
      </c>
      <c r="B54" s="50">
        <v>2013</v>
      </c>
      <c r="C54" s="52" t="s">
        <v>604</v>
      </c>
      <c r="D54" s="52" t="s">
        <v>353</v>
      </c>
      <c r="E54" s="52" t="s">
        <v>354</v>
      </c>
      <c r="F54" s="52" t="s">
        <v>355</v>
      </c>
      <c r="G54" s="52" t="s">
        <v>356</v>
      </c>
      <c r="H54" s="52" t="s">
        <v>22</v>
      </c>
      <c r="I54" s="52" t="s">
        <v>9</v>
      </c>
      <c r="J54" s="52" t="s">
        <v>23</v>
      </c>
      <c r="K54" s="52" t="s">
        <v>357</v>
      </c>
      <c r="L54" s="52" t="s">
        <v>10</v>
      </c>
      <c r="M54" s="52" t="s">
        <v>10</v>
      </c>
      <c r="N54" s="52" t="s">
        <v>10</v>
      </c>
      <c r="O54" s="52" t="s">
        <v>10</v>
      </c>
      <c r="P54" s="50">
        <v>363</v>
      </c>
      <c r="Q54" s="50">
        <v>11</v>
      </c>
      <c r="R54" s="54">
        <v>6.8</v>
      </c>
      <c r="S54" s="52" t="s">
        <v>347</v>
      </c>
      <c r="T54" s="74" t="s">
        <v>626</v>
      </c>
      <c r="U54" s="62">
        <v>120</v>
      </c>
    </row>
    <row r="55" spans="1:21" ht="15" customHeight="1">
      <c r="A55" s="63" t="s">
        <v>352</v>
      </c>
      <c r="B55" s="50">
        <v>2013</v>
      </c>
      <c r="C55" s="52" t="s">
        <v>604</v>
      </c>
      <c r="D55" s="52" t="s">
        <v>353</v>
      </c>
      <c r="E55" s="52" t="s">
        <v>354</v>
      </c>
      <c r="F55" s="52" t="s">
        <v>355</v>
      </c>
      <c r="G55" s="52" t="s">
        <v>356</v>
      </c>
      <c r="H55" s="52" t="s">
        <v>22</v>
      </c>
      <c r="I55" s="52" t="s">
        <v>9</v>
      </c>
      <c r="J55" s="52" t="s">
        <v>11</v>
      </c>
      <c r="K55" s="52" t="s">
        <v>357</v>
      </c>
      <c r="L55" s="52" t="s">
        <v>10</v>
      </c>
      <c r="M55" s="52" t="s">
        <v>10</v>
      </c>
      <c r="N55" s="52" t="s">
        <v>10</v>
      </c>
      <c r="O55" s="52" t="s">
        <v>10</v>
      </c>
      <c r="P55" s="50">
        <v>341</v>
      </c>
      <c r="Q55" s="50">
        <v>14</v>
      </c>
      <c r="R55" s="54">
        <v>8.6</v>
      </c>
      <c r="S55" s="52" t="s">
        <v>347</v>
      </c>
      <c r="T55" s="74" t="s">
        <v>626</v>
      </c>
      <c r="U55" s="62">
        <v>120</v>
      </c>
    </row>
    <row r="56" spans="1:21" ht="15" customHeight="1">
      <c r="A56" s="60" t="s">
        <v>352</v>
      </c>
      <c r="B56" s="50">
        <v>2013</v>
      </c>
      <c r="C56" s="52" t="s">
        <v>604</v>
      </c>
      <c r="D56" s="52" t="s">
        <v>353</v>
      </c>
      <c r="E56" s="52" t="s">
        <v>354</v>
      </c>
      <c r="F56" s="52" t="s">
        <v>355</v>
      </c>
      <c r="G56" s="52" t="s">
        <v>356</v>
      </c>
      <c r="H56" s="52" t="s">
        <v>22</v>
      </c>
      <c r="I56" s="52" t="s">
        <v>9</v>
      </c>
      <c r="J56" s="52" t="s">
        <v>16</v>
      </c>
      <c r="K56" s="52" t="s">
        <v>358</v>
      </c>
      <c r="L56" s="52" t="s">
        <v>10</v>
      </c>
      <c r="M56" s="52" t="s">
        <v>10</v>
      </c>
      <c r="N56" s="52" t="s">
        <v>10</v>
      </c>
      <c r="O56" s="52" t="s">
        <v>10</v>
      </c>
      <c r="P56" s="50">
        <f>377+331</f>
        <v>708</v>
      </c>
      <c r="Q56" s="50">
        <f>16+38</f>
        <v>54</v>
      </c>
      <c r="R56" s="54">
        <f>Q56*100/P56</f>
        <v>7.6271186440677967</v>
      </c>
      <c r="S56" s="52" t="s">
        <v>344</v>
      </c>
      <c r="T56" s="52" t="s">
        <v>593</v>
      </c>
      <c r="U56" s="62">
        <v>120</v>
      </c>
    </row>
    <row r="57" spans="1:21" ht="15" customHeight="1">
      <c r="A57" s="60" t="s">
        <v>352</v>
      </c>
      <c r="B57" s="50">
        <v>2013</v>
      </c>
      <c r="C57" s="52" t="s">
        <v>604</v>
      </c>
      <c r="D57" s="52" t="s">
        <v>353</v>
      </c>
      <c r="E57" s="52" t="s">
        <v>354</v>
      </c>
      <c r="F57" s="52" t="s">
        <v>355</v>
      </c>
      <c r="G57" s="52" t="s">
        <v>356</v>
      </c>
      <c r="H57" s="52" t="s">
        <v>22</v>
      </c>
      <c r="I57" s="52" t="s">
        <v>9</v>
      </c>
      <c r="J57" s="52" t="s">
        <v>23</v>
      </c>
      <c r="K57" s="52" t="s">
        <v>358</v>
      </c>
      <c r="L57" s="52" t="s">
        <v>10</v>
      </c>
      <c r="M57" s="52" t="s">
        <v>10</v>
      </c>
      <c r="N57" s="52" t="s">
        <v>10</v>
      </c>
      <c r="O57" s="52" t="s">
        <v>10</v>
      </c>
      <c r="P57" s="50">
        <v>377</v>
      </c>
      <c r="Q57" s="50">
        <v>16</v>
      </c>
      <c r="R57" s="54">
        <v>7.6</v>
      </c>
      <c r="S57" s="52" t="s">
        <v>347</v>
      </c>
      <c r="T57" s="52" t="s">
        <v>593</v>
      </c>
      <c r="U57" s="62">
        <v>120</v>
      </c>
    </row>
    <row r="58" spans="1:21" ht="15" customHeight="1">
      <c r="A58" s="63" t="s">
        <v>352</v>
      </c>
      <c r="B58" s="50">
        <v>2013</v>
      </c>
      <c r="C58" s="52" t="s">
        <v>604</v>
      </c>
      <c r="D58" s="52" t="s">
        <v>353</v>
      </c>
      <c r="E58" s="52" t="s">
        <v>354</v>
      </c>
      <c r="F58" s="52" t="s">
        <v>355</v>
      </c>
      <c r="G58" s="52" t="s">
        <v>356</v>
      </c>
      <c r="H58" s="52" t="s">
        <v>22</v>
      </c>
      <c r="I58" s="52" t="s">
        <v>9</v>
      </c>
      <c r="J58" s="52" t="s">
        <v>11</v>
      </c>
      <c r="K58" s="52" t="s">
        <v>358</v>
      </c>
      <c r="L58" s="52" t="s">
        <v>10</v>
      </c>
      <c r="M58" s="52" t="s">
        <v>10</v>
      </c>
      <c r="N58" s="52" t="s">
        <v>10</v>
      </c>
      <c r="O58" s="52" t="s">
        <v>10</v>
      </c>
      <c r="P58" s="50">
        <v>331</v>
      </c>
      <c r="Q58" s="50">
        <v>38</v>
      </c>
      <c r="R58" s="54">
        <v>19.100000000000001</v>
      </c>
      <c r="S58" s="52" t="s">
        <v>347</v>
      </c>
      <c r="T58" s="52" t="s">
        <v>593</v>
      </c>
      <c r="U58" s="62">
        <v>120</v>
      </c>
    </row>
    <row r="59" spans="1:21" ht="15" customHeight="1">
      <c r="A59" s="60" t="s">
        <v>352</v>
      </c>
      <c r="B59" s="50">
        <v>2013</v>
      </c>
      <c r="C59" s="52" t="s">
        <v>604</v>
      </c>
      <c r="D59" s="52" t="s">
        <v>353</v>
      </c>
      <c r="E59" s="52" t="s">
        <v>354</v>
      </c>
      <c r="F59" s="52" t="s">
        <v>355</v>
      </c>
      <c r="G59" s="52" t="s">
        <v>356</v>
      </c>
      <c r="H59" s="52" t="s">
        <v>22</v>
      </c>
      <c r="I59" s="52" t="s">
        <v>9</v>
      </c>
      <c r="J59" s="52" t="s">
        <v>16</v>
      </c>
      <c r="K59" s="52" t="s">
        <v>359</v>
      </c>
      <c r="L59" s="52" t="s">
        <v>10</v>
      </c>
      <c r="M59" s="52" t="s">
        <v>10</v>
      </c>
      <c r="N59" s="52" t="s">
        <v>10</v>
      </c>
      <c r="O59" s="52" t="s">
        <v>10</v>
      </c>
      <c r="P59" s="50">
        <f>393+330</f>
        <v>723</v>
      </c>
      <c r="Q59" s="50">
        <f>64</f>
        <v>64</v>
      </c>
      <c r="R59" s="54">
        <f>Q59*100/P59</f>
        <v>8.8520055325034583</v>
      </c>
      <c r="S59" s="52" t="s">
        <v>344</v>
      </c>
      <c r="T59" s="52" t="s">
        <v>593</v>
      </c>
      <c r="U59" s="62">
        <v>120</v>
      </c>
    </row>
    <row r="60" spans="1:21" ht="15" customHeight="1">
      <c r="A60" s="60" t="s">
        <v>352</v>
      </c>
      <c r="B60" s="50">
        <v>2013</v>
      </c>
      <c r="C60" s="52" t="s">
        <v>604</v>
      </c>
      <c r="D60" s="52" t="s">
        <v>353</v>
      </c>
      <c r="E60" s="52" t="s">
        <v>354</v>
      </c>
      <c r="F60" s="52" t="s">
        <v>355</v>
      </c>
      <c r="G60" s="52" t="s">
        <v>356</v>
      </c>
      <c r="H60" s="52" t="s">
        <v>22</v>
      </c>
      <c r="I60" s="52" t="s">
        <v>9</v>
      </c>
      <c r="J60" s="52" t="s">
        <v>23</v>
      </c>
      <c r="K60" s="52" t="s">
        <v>359</v>
      </c>
      <c r="L60" s="52" t="s">
        <v>10</v>
      </c>
      <c r="M60" s="52" t="s">
        <v>10</v>
      </c>
      <c r="N60" s="52" t="s">
        <v>10</v>
      </c>
      <c r="O60" s="52" t="s">
        <v>10</v>
      </c>
      <c r="P60" s="50">
        <v>393</v>
      </c>
      <c r="Q60" s="50">
        <v>33</v>
      </c>
      <c r="R60" s="54">
        <v>14.1</v>
      </c>
      <c r="S60" s="52" t="s">
        <v>347</v>
      </c>
      <c r="T60" s="52" t="s">
        <v>593</v>
      </c>
      <c r="U60" s="62">
        <v>120</v>
      </c>
    </row>
    <row r="61" spans="1:21" ht="15" customHeight="1">
      <c r="A61" s="63" t="s">
        <v>352</v>
      </c>
      <c r="B61" s="50">
        <v>2013</v>
      </c>
      <c r="C61" s="52" t="s">
        <v>604</v>
      </c>
      <c r="D61" s="52" t="s">
        <v>353</v>
      </c>
      <c r="E61" s="52" t="s">
        <v>354</v>
      </c>
      <c r="F61" s="52" t="s">
        <v>355</v>
      </c>
      <c r="G61" s="52" t="s">
        <v>356</v>
      </c>
      <c r="H61" s="52" t="s">
        <v>22</v>
      </c>
      <c r="I61" s="52" t="s">
        <v>9</v>
      </c>
      <c r="J61" s="52" t="s">
        <v>11</v>
      </c>
      <c r="K61" s="52" t="s">
        <v>359</v>
      </c>
      <c r="L61" s="52" t="s">
        <v>10</v>
      </c>
      <c r="M61" s="52" t="s">
        <v>10</v>
      </c>
      <c r="N61" s="52" t="s">
        <v>10</v>
      </c>
      <c r="O61" s="52" t="s">
        <v>10</v>
      </c>
      <c r="P61" s="50">
        <v>330</v>
      </c>
      <c r="Q61" s="50">
        <v>31</v>
      </c>
      <c r="R61" s="54">
        <v>15.8</v>
      </c>
      <c r="S61" s="52" t="s">
        <v>347</v>
      </c>
      <c r="T61" s="52" t="s">
        <v>593</v>
      </c>
      <c r="U61" s="62">
        <v>120</v>
      </c>
    </row>
    <row r="62" spans="1:21" ht="15" customHeight="1">
      <c r="A62" s="60" t="s">
        <v>352</v>
      </c>
      <c r="B62" s="50">
        <v>2013</v>
      </c>
      <c r="C62" s="52" t="s">
        <v>604</v>
      </c>
      <c r="D62" s="52" t="s">
        <v>353</v>
      </c>
      <c r="E62" s="52" t="s">
        <v>354</v>
      </c>
      <c r="F62" s="52" t="s">
        <v>355</v>
      </c>
      <c r="G62" s="52" t="s">
        <v>356</v>
      </c>
      <c r="H62" s="52" t="s">
        <v>22</v>
      </c>
      <c r="I62" s="52" t="s">
        <v>9</v>
      </c>
      <c r="J62" s="52" t="s">
        <v>16</v>
      </c>
      <c r="K62" s="52" t="s">
        <v>360</v>
      </c>
      <c r="L62" s="52" t="s">
        <v>10</v>
      </c>
      <c r="M62" s="52" t="s">
        <v>10</v>
      </c>
      <c r="N62" s="52" t="s">
        <v>10</v>
      </c>
      <c r="O62" s="52" t="s">
        <v>10</v>
      </c>
      <c r="P62" s="50">
        <f>358+319</f>
        <v>677</v>
      </c>
      <c r="Q62" s="50">
        <v>24</v>
      </c>
      <c r="R62" s="54">
        <f>Q62*100/P62</f>
        <v>3.5450516986706058</v>
      </c>
      <c r="S62" s="52" t="s">
        <v>344</v>
      </c>
      <c r="T62" s="52" t="s">
        <v>593</v>
      </c>
      <c r="U62" s="62">
        <v>120</v>
      </c>
    </row>
    <row r="63" spans="1:21" ht="15" customHeight="1">
      <c r="A63" s="60" t="s">
        <v>352</v>
      </c>
      <c r="B63" s="50">
        <v>2013</v>
      </c>
      <c r="C63" s="52" t="s">
        <v>604</v>
      </c>
      <c r="D63" s="52" t="s">
        <v>353</v>
      </c>
      <c r="E63" s="52" t="s">
        <v>354</v>
      </c>
      <c r="F63" s="52" t="s">
        <v>355</v>
      </c>
      <c r="G63" s="52" t="s">
        <v>356</v>
      </c>
      <c r="H63" s="52" t="s">
        <v>22</v>
      </c>
      <c r="I63" s="52" t="s">
        <v>9</v>
      </c>
      <c r="J63" s="52" t="s">
        <v>23</v>
      </c>
      <c r="K63" s="52" t="s">
        <v>360</v>
      </c>
      <c r="L63" s="52" t="s">
        <v>10</v>
      </c>
      <c r="M63" s="52" t="s">
        <v>10</v>
      </c>
      <c r="N63" s="52" t="s">
        <v>10</v>
      </c>
      <c r="O63" s="52" t="s">
        <v>10</v>
      </c>
      <c r="P63" s="50">
        <v>358</v>
      </c>
      <c r="Q63" s="50">
        <v>11</v>
      </c>
      <c r="R63" s="54">
        <v>5.0999999999999996</v>
      </c>
      <c r="S63" s="52" t="s">
        <v>347</v>
      </c>
      <c r="T63" s="52" t="s">
        <v>593</v>
      </c>
      <c r="U63" s="62">
        <v>120</v>
      </c>
    </row>
    <row r="64" spans="1:21" ht="15" customHeight="1">
      <c r="A64" s="63" t="s">
        <v>352</v>
      </c>
      <c r="B64" s="50">
        <v>2013</v>
      </c>
      <c r="C64" s="52" t="s">
        <v>604</v>
      </c>
      <c r="D64" s="52" t="s">
        <v>353</v>
      </c>
      <c r="E64" s="52" t="s">
        <v>354</v>
      </c>
      <c r="F64" s="52" t="s">
        <v>355</v>
      </c>
      <c r="G64" s="52" t="s">
        <v>356</v>
      </c>
      <c r="H64" s="52" t="s">
        <v>22</v>
      </c>
      <c r="I64" s="52" t="s">
        <v>9</v>
      </c>
      <c r="J64" s="52" t="s">
        <v>11</v>
      </c>
      <c r="K64" s="52" t="s">
        <v>360</v>
      </c>
      <c r="L64" s="52" t="s">
        <v>10</v>
      </c>
      <c r="M64" s="52" t="s">
        <v>10</v>
      </c>
      <c r="N64" s="52" t="s">
        <v>10</v>
      </c>
      <c r="O64" s="52" t="s">
        <v>10</v>
      </c>
      <c r="P64" s="50">
        <v>319</v>
      </c>
      <c r="Q64" s="50">
        <v>13</v>
      </c>
      <c r="R64" s="54">
        <v>6.8</v>
      </c>
      <c r="S64" s="52" t="s">
        <v>347</v>
      </c>
      <c r="T64" s="52" t="s">
        <v>593</v>
      </c>
      <c r="U64" s="62">
        <v>120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694C-FD20-478C-AC3B-0FD707B320A1}">
  <dimension ref="A1:A3"/>
  <sheetViews>
    <sheetView zoomScale="85" zoomScaleNormal="85" workbookViewId="0">
      <selection activeCell="A4" sqref="A4"/>
    </sheetView>
  </sheetViews>
  <sheetFormatPr defaultRowHeight="14.5"/>
  <sheetData>
    <row r="1" spans="1:1">
      <c r="A1" s="79" t="s">
        <v>634</v>
      </c>
    </row>
    <row r="2" spans="1:1">
      <c r="A2" s="79" t="s">
        <v>635</v>
      </c>
    </row>
    <row r="3" spans="1:1">
      <c r="A3" s="79" t="s">
        <v>633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Prevalence</vt:lpstr>
      <vt:lpstr>Incidence</vt:lpstr>
      <vt:lpstr>read 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Looker</dc:creator>
  <cp:lastModifiedBy>Katharine Looker</cp:lastModifiedBy>
  <dcterms:created xsi:type="dcterms:W3CDTF">2018-11-20T11:40:25Z</dcterms:created>
  <dcterms:modified xsi:type="dcterms:W3CDTF">2020-02-05T10:20:54Z</dcterms:modified>
</cp:coreProperties>
</file>