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kl13524\OneDrive - University of Bristol\Documents\WHO work\2018 HSV infection estimates\"/>
    </mc:Choice>
  </mc:AlternateContent>
  <xr:revisionPtr revIDLastSave="200" documentId="8_{D352251F-B071-43CB-89E0-677391871705}" xr6:coauthVersionLast="45" xr6:coauthVersionMax="45" xr10:uidLastSave="{216AB114-BA56-43C6-9BFC-FACC20FF58E3}"/>
  <bookViews>
    <workbookView xWindow="-110" yWindow="-110" windowWidth="19420" windowHeight="10420" xr2:uid="{00000000-000D-0000-FFFF-FFFF00000000}"/>
  </bookViews>
  <sheets>
    <sheet name="Prevalence" sheetId="1" r:id="rId1"/>
    <sheet name="Incidence" sheetId="4" r:id="rId2"/>
    <sheet name="read me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4" l="1"/>
  <c r="Q111" i="1"/>
  <c r="Q110" i="1"/>
  <c r="P109" i="1"/>
  <c r="O109" i="1"/>
  <c r="P108" i="1"/>
  <c r="P107" i="1"/>
  <c r="P106" i="1"/>
  <c r="P105" i="1"/>
  <c r="Q104" i="1"/>
  <c r="Q103" i="1"/>
  <c r="N102" i="1"/>
  <c r="O101" i="1"/>
  <c r="Q101" i="1" s="1"/>
  <c r="O89" i="1"/>
  <c r="Q87" i="1"/>
  <c r="Q86" i="1"/>
  <c r="Q85" i="1"/>
  <c r="Q84" i="1"/>
  <c r="Q83" i="1"/>
  <c r="Q82" i="1"/>
  <c r="Q81" i="1"/>
  <c r="N81" i="1"/>
  <c r="Q80" i="1"/>
  <c r="Q79" i="1"/>
  <c r="Q78" i="1"/>
  <c r="Q77" i="1"/>
  <c r="Q76" i="1"/>
  <c r="Q75" i="1"/>
  <c r="Q74" i="1"/>
  <c r="Q73" i="1"/>
  <c r="P72" i="1"/>
  <c r="O72" i="1"/>
  <c r="P71" i="1"/>
  <c r="O71" i="1"/>
  <c r="P70" i="1"/>
  <c r="O70" i="1"/>
  <c r="P69" i="1"/>
  <c r="O69" i="1"/>
  <c r="Q68" i="1"/>
  <c r="Q67" i="1"/>
  <c r="Q65" i="1"/>
  <c r="Q63" i="1"/>
  <c r="P62" i="1"/>
  <c r="P61" i="1"/>
  <c r="O61" i="1"/>
  <c r="Q60" i="1"/>
  <c r="Q59" i="1"/>
  <c r="Q58" i="1"/>
  <c r="Q57" i="1"/>
  <c r="Q56" i="1"/>
  <c r="P55" i="1"/>
  <c r="O55" i="1"/>
  <c r="Q54" i="1"/>
  <c r="Q53" i="1"/>
  <c r="Q52" i="1"/>
  <c r="Q51" i="1"/>
  <c r="Q50" i="1"/>
  <c r="P49" i="1"/>
  <c r="O49" i="1"/>
  <c r="P48" i="1"/>
  <c r="O48" i="1"/>
  <c r="P47" i="1"/>
  <c r="O47" i="1"/>
  <c r="P46" i="1"/>
  <c r="O46" i="1"/>
  <c r="P45" i="1"/>
  <c r="O45" i="1"/>
  <c r="P44" i="1"/>
  <c r="O44" i="1"/>
  <c r="Q41" i="1"/>
  <c r="Q40" i="1"/>
  <c r="Q39" i="1"/>
  <c r="Q38" i="1"/>
  <c r="Q37" i="1"/>
  <c r="P36" i="1"/>
  <c r="P35" i="1"/>
  <c r="P34" i="1"/>
  <c r="P33" i="1"/>
  <c r="O32" i="1"/>
  <c r="O31" i="1"/>
  <c r="Q31" i="1" s="1"/>
  <c r="P30" i="1"/>
  <c r="P29" i="1"/>
  <c r="P28" i="1"/>
  <c r="P27" i="1"/>
  <c r="O26" i="1"/>
  <c r="Q25" i="1"/>
  <c r="O24" i="1"/>
  <c r="O23" i="1"/>
  <c r="O22" i="1"/>
  <c r="O21" i="1"/>
  <c r="Q20" i="1"/>
  <c r="Q19" i="1"/>
  <c r="Q18" i="1"/>
  <c r="Q10" i="1"/>
  <c r="Q9" i="1"/>
  <c r="P7" i="1"/>
  <c r="O7" i="1"/>
  <c r="P6" i="1"/>
  <c r="O6" i="1"/>
  <c r="P5" i="1"/>
  <c r="O5" i="1"/>
  <c r="P4" i="1"/>
  <c r="O4" i="1"/>
  <c r="P3" i="1"/>
  <c r="O3" i="1"/>
  <c r="Q71" i="1" l="1"/>
  <c r="Q61" i="1"/>
  <c r="Q3" i="1"/>
  <c r="Q47" i="1"/>
  <c r="P22" i="1"/>
  <c r="Q22" i="1" s="1"/>
  <c r="P24" i="1"/>
  <c r="Q24" i="1" s="1"/>
  <c r="P23" i="1"/>
  <c r="Q23" i="1" s="1"/>
  <c r="Q5" i="1"/>
  <c r="Q44" i="1"/>
  <c r="Q4" i="1"/>
  <c r="Q48" i="1"/>
  <c r="Q72" i="1"/>
  <c r="Q7" i="1"/>
  <c r="P21" i="1"/>
  <c r="Q21" i="1" s="1"/>
  <c r="O43" i="1"/>
  <c r="Q6" i="1"/>
  <c r="Q69" i="1"/>
  <c r="Q70" i="1"/>
  <c r="Q45" i="1"/>
  <c r="Q46" i="1"/>
  <c r="P43" i="1"/>
  <c r="Q49" i="1"/>
  <c r="Q55" i="1"/>
  <c r="Q109" i="1"/>
  <c r="Q43" i="1" l="1"/>
  <c r="P576" i="1" l="1"/>
  <c r="O576" i="1"/>
  <c r="M576" i="1"/>
  <c r="L576" i="1"/>
  <c r="P575" i="1"/>
  <c r="O575" i="1"/>
  <c r="M575" i="1"/>
  <c r="L575" i="1"/>
  <c r="P574" i="1"/>
  <c r="O574" i="1"/>
  <c r="M574" i="1"/>
  <c r="L574" i="1"/>
  <c r="P573" i="1"/>
  <c r="O573" i="1"/>
  <c r="M573" i="1"/>
  <c r="L573" i="1"/>
  <c r="P572" i="1"/>
  <c r="O572" i="1"/>
  <c r="M572" i="1"/>
  <c r="L572" i="1"/>
  <c r="P571" i="1"/>
  <c r="O571" i="1"/>
  <c r="M571" i="1"/>
  <c r="L571" i="1"/>
  <c r="P570" i="1"/>
  <c r="O570" i="1"/>
  <c r="M570" i="1"/>
  <c r="L570" i="1"/>
  <c r="P577" i="1"/>
  <c r="O577" i="1"/>
  <c r="M577" i="1"/>
  <c r="L577" i="1"/>
  <c r="P585" i="1"/>
  <c r="O585" i="1"/>
  <c r="M585" i="1"/>
  <c r="L585" i="1"/>
  <c r="N592" i="1"/>
  <c r="N591" i="1"/>
  <c r="N590" i="1"/>
  <c r="N589" i="1"/>
  <c r="N588" i="1"/>
  <c r="N587" i="1"/>
  <c r="N586" i="1"/>
  <c r="Q592" i="1"/>
  <c r="Q591" i="1"/>
  <c r="Q590" i="1"/>
  <c r="Q589" i="1"/>
  <c r="Q588" i="1"/>
  <c r="Q587" i="1"/>
  <c r="Q586" i="1"/>
  <c r="Q584" i="1"/>
  <c r="Q583" i="1"/>
  <c r="Q582" i="1"/>
  <c r="Q581" i="1"/>
  <c r="Q580" i="1"/>
  <c r="Q579" i="1"/>
  <c r="Q578" i="1"/>
  <c r="N584" i="1"/>
  <c r="N583" i="1"/>
  <c r="N582" i="1"/>
  <c r="N581" i="1"/>
  <c r="N580" i="1"/>
  <c r="N579" i="1"/>
  <c r="N578" i="1"/>
  <c r="P552" i="1"/>
  <c r="O552" i="1"/>
  <c r="M552" i="1"/>
  <c r="L552" i="1"/>
  <c r="P551" i="1"/>
  <c r="O551" i="1"/>
  <c r="M551" i="1"/>
  <c r="L551" i="1"/>
  <c r="P550" i="1"/>
  <c r="O550" i="1"/>
  <c r="M550" i="1"/>
  <c r="L550" i="1"/>
  <c r="P549" i="1"/>
  <c r="O549" i="1"/>
  <c r="M549" i="1"/>
  <c r="L549" i="1"/>
  <c r="P548" i="1"/>
  <c r="O548" i="1"/>
  <c r="M548" i="1"/>
  <c r="L548" i="1"/>
  <c r="P547" i="1"/>
  <c r="O547" i="1"/>
  <c r="M547" i="1"/>
  <c r="L547" i="1"/>
  <c r="P546" i="1"/>
  <c r="O546" i="1"/>
  <c r="M546" i="1"/>
  <c r="L546" i="1"/>
  <c r="P553" i="1"/>
  <c r="O553" i="1"/>
  <c r="M553" i="1"/>
  <c r="L553" i="1"/>
  <c r="P561" i="1"/>
  <c r="O561" i="1"/>
  <c r="M561" i="1"/>
  <c r="L561" i="1"/>
  <c r="N560" i="1"/>
  <c r="N559" i="1"/>
  <c r="N558" i="1"/>
  <c r="N557" i="1"/>
  <c r="N556" i="1"/>
  <c r="N555" i="1"/>
  <c r="N554" i="1"/>
  <c r="Q560" i="1"/>
  <c r="Q559" i="1"/>
  <c r="Q558" i="1"/>
  <c r="Q557" i="1"/>
  <c r="Q556" i="1"/>
  <c r="Q555" i="1"/>
  <c r="Q554" i="1"/>
  <c r="Q568" i="1"/>
  <c r="Q567" i="1"/>
  <c r="Q566" i="1"/>
  <c r="Q565" i="1"/>
  <c r="Q564" i="1"/>
  <c r="Q563" i="1"/>
  <c r="Q562" i="1"/>
  <c r="N568" i="1"/>
  <c r="N567" i="1"/>
  <c r="N566" i="1"/>
  <c r="N565" i="1"/>
  <c r="N564" i="1"/>
  <c r="N563" i="1"/>
  <c r="N562" i="1"/>
  <c r="P528" i="1"/>
  <c r="O528" i="1"/>
  <c r="M528" i="1"/>
  <c r="L528" i="1"/>
  <c r="P527" i="1"/>
  <c r="O527" i="1"/>
  <c r="M527" i="1"/>
  <c r="L527" i="1"/>
  <c r="P526" i="1"/>
  <c r="O526" i="1"/>
  <c r="M526" i="1"/>
  <c r="L526" i="1"/>
  <c r="P525" i="1"/>
  <c r="O525" i="1"/>
  <c r="M525" i="1"/>
  <c r="L525" i="1"/>
  <c r="P524" i="1"/>
  <c r="O524" i="1"/>
  <c r="M524" i="1"/>
  <c r="L524" i="1"/>
  <c r="P523" i="1"/>
  <c r="O523" i="1"/>
  <c r="M523" i="1"/>
  <c r="L523" i="1"/>
  <c r="P522" i="1"/>
  <c r="O522" i="1"/>
  <c r="M522" i="1"/>
  <c r="L522" i="1"/>
  <c r="P529" i="1"/>
  <c r="O529" i="1"/>
  <c r="M529" i="1"/>
  <c r="L529" i="1"/>
  <c r="P537" i="1"/>
  <c r="O537" i="1"/>
  <c r="M537" i="1"/>
  <c r="L537" i="1"/>
  <c r="Q536" i="1"/>
  <c r="Q535" i="1"/>
  <c r="Q534" i="1"/>
  <c r="Q533" i="1"/>
  <c r="Q532" i="1"/>
  <c r="Q531" i="1"/>
  <c r="Q530" i="1"/>
  <c r="Q544" i="1"/>
  <c r="Q543" i="1"/>
  <c r="Q542" i="1"/>
  <c r="Q541" i="1"/>
  <c r="Q540" i="1"/>
  <c r="Q539" i="1"/>
  <c r="Q538" i="1"/>
  <c r="N544" i="1"/>
  <c r="N543" i="1"/>
  <c r="N542" i="1"/>
  <c r="N541" i="1"/>
  <c r="N540" i="1"/>
  <c r="N539" i="1"/>
  <c r="N538" i="1"/>
  <c r="N531" i="1"/>
  <c r="N532" i="1"/>
  <c r="N533" i="1"/>
  <c r="N534" i="1"/>
  <c r="N535" i="1"/>
  <c r="N536" i="1"/>
  <c r="N530" i="1"/>
  <c r="P504" i="1"/>
  <c r="O504" i="1"/>
  <c r="M504" i="1"/>
  <c r="L504" i="1"/>
  <c r="P503" i="1"/>
  <c r="O503" i="1"/>
  <c r="M503" i="1"/>
  <c r="L503" i="1"/>
  <c r="P502" i="1"/>
  <c r="O502" i="1"/>
  <c r="M502" i="1"/>
  <c r="L502" i="1"/>
  <c r="P501" i="1"/>
  <c r="O501" i="1"/>
  <c r="M501" i="1"/>
  <c r="L501" i="1"/>
  <c r="P500" i="1"/>
  <c r="O500" i="1"/>
  <c r="M500" i="1"/>
  <c r="L500" i="1"/>
  <c r="P499" i="1"/>
  <c r="O499" i="1"/>
  <c r="M499" i="1"/>
  <c r="L499" i="1"/>
  <c r="P498" i="1"/>
  <c r="O498" i="1"/>
  <c r="M498" i="1"/>
  <c r="L498" i="1"/>
  <c r="P505" i="1"/>
  <c r="O505" i="1"/>
  <c r="M505" i="1"/>
  <c r="L505" i="1"/>
  <c r="P513" i="1"/>
  <c r="O513" i="1"/>
  <c r="M513" i="1"/>
  <c r="L513" i="1"/>
  <c r="N520" i="1"/>
  <c r="N519" i="1"/>
  <c r="N518" i="1"/>
  <c r="N517" i="1"/>
  <c r="N516" i="1"/>
  <c r="N515" i="1"/>
  <c r="N514" i="1"/>
  <c r="Q520" i="1"/>
  <c r="Q519" i="1"/>
  <c r="Q518" i="1"/>
  <c r="Q517" i="1"/>
  <c r="Q516" i="1"/>
  <c r="Q515" i="1"/>
  <c r="Q514" i="1"/>
  <c r="Q507" i="1"/>
  <c r="Q508" i="1"/>
  <c r="Q509" i="1"/>
  <c r="Q510" i="1"/>
  <c r="Q511" i="1"/>
  <c r="Q512" i="1"/>
  <c r="N507" i="1"/>
  <c r="N508" i="1"/>
  <c r="N509" i="1"/>
  <c r="N510" i="1"/>
  <c r="N511" i="1"/>
  <c r="N512" i="1"/>
  <c r="Q506" i="1"/>
  <c r="N506" i="1"/>
  <c r="L474" i="1"/>
  <c r="M474" i="1"/>
  <c r="O474" i="1"/>
  <c r="P474" i="1"/>
  <c r="L475" i="1"/>
  <c r="M475" i="1"/>
  <c r="O475" i="1"/>
  <c r="P475" i="1"/>
  <c r="L476" i="1"/>
  <c r="M476" i="1"/>
  <c r="O476" i="1"/>
  <c r="P476" i="1"/>
  <c r="L477" i="1"/>
  <c r="M477" i="1"/>
  <c r="O477" i="1"/>
  <c r="P477" i="1"/>
  <c r="L478" i="1"/>
  <c r="M478" i="1"/>
  <c r="O478" i="1"/>
  <c r="P478" i="1"/>
  <c r="L479" i="1"/>
  <c r="M479" i="1"/>
  <c r="O479" i="1"/>
  <c r="P479" i="1"/>
  <c r="L480" i="1"/>
  <c r="M480" i="1"/>
  <c r="O480" i="1"/>
  <c r="P480" i="1"/>
  <c r="P481" i="1"/>
  <c r="O481" i="1"/>
  <c r="M481" i="1"/>
  <c r="L481" i="1"/>
  <c r="M489" i="1"/>
  <c r="O489" i="1"/>
  <c r="P489" i="1"/>
  <c r="L489" i="1"/>
  <c r="Q491" i="1"/>
  <c r="Q492" i="1"/>
  <c r="Q493" i="1"/>
  <c r="Q494" i="1"/>
  <c r="Q495" i="1"/>
  <c r="Q496" i="1"/>
  <c r="Q490" i="1"/>
  <c r="N491" i="1"/>
  <c r="N492" i="1"/>
  <c r="N493" i="1"/>
  <c r="N494" i="1"/>
  <c r="N495" i="1"/>
  <c r="N496" i="1"/>
  <c r="N490" i="1"/>
  <c r="M451" i="1"/>
  <c r="P451" i="1"/>
  <c r="L452" i="1"/>
  <c r="M452" i="1"/>
  <c r="O452" i="1"/>
  <c r="P452" i="1"/>
  <c r="L453" i="1"/>
  <c r="M453" i="1"/>
  <c r="O453" i="1"/>
  <c r="P453" i="1"/>
  <c r="L454" i="1"/>
  <c r="M454" i="1"/>
  <c r="O454" i="1"/>
  <c r="P454" i="1"/>
  <c r="L455" i="1"/>
  <c r="M455" i="1"/>
  <c r="O455" i="1"/>
  <c r="P455" i="1"/>
  <c r="L456" i="1"/>
  <c r="M456" i="1"/>
  <c r="O456" i="1"/>
  <c r="P456" i="1"/>
  <c r="P450" i="1"/>
  <c r="O450" i="1"/>
  <c r="M450" i="1"/>
  <c r="P465" i="1"/>
  <c r="O465" i="1"/>
  <c r="M465" i="1"/>
  <c r="L465" i="1"/>
  <c r="N458" i="1"/>
  <c r="P457" i="1"/>
  <c r="M457" i="1"/>
  <c r="O459" i="1"/>
  <c r="O457" i="1" s="1"/>
  <c r="L459" i="1"/>
  <c r="L451" i="1" s="1"/>
  <c r="L458" i="1"/>
  <c r="L450" i="1" s="1"/>
  <c r="L228" i="1"/>
  <c r="O228" i="1"/>
  <c r="P423" i="1"/>
  <c r="Q423" i="1" s="1"/>
  <c r="P422" i="1"/>
  <c r="Q422" i="1" s="1"/>
  <c r="P421" i="1"/>
  <c r="Q421" i="1" s="1"/>
  <c r="P420" i="1"/>
  <c r="Q420" i="1" s="1"/>
  <c r="P419" i="1"/>
  <c r="Q419" i="1" s="1"/>
  <c r="P418" i="1"/>
  <c r="Q418" i="1" s="1"/>
  <c r="P417" i="1"/>
  <c r="Q417" i="1" s="1"/>
  <c r="P416" i="1"/>
  <c r="Q416" i="1" s="1"/>
  <c r="P415" i="1"/>
  <c r="Q415" i="1" s="1"/>
  <c r="P414" i="1"/>
  <c r="Q414" i="1" s="1"/>
  <c r="P413" i="1"/>
  <c r="Q413" i="1" s="1"/>
  <c r="P412" i="1"/>
  <c r="Q412" i="1" s="1"/>
  <c r="P411" i="1"/>
  <c r="Q411" i="1" s="1"/>
  <c r="M423" i="1"/>
  <c r="N423" i="1" s="1"/>
  <c r="M422" i="1"/>
  <c r="N422" i="1" s="1"/>
  <c r="M421" i="1"/>
  <c r="N421" i="1" s="1"/>
  <c r="M420" i="1"/>
  <c r="N420" i="1" s="1"/>
  <c r="M419" i="1"/>
  <c r="N419" i="1" s="1"/>
  <c r="M418" i="1"/>
  <c r="N418" i="1" s="1"/>
  <c r="M417" i="1"/>
  <c r="N417" i="1" s="1"/>
  <c r="M416" i="1"/>
  <c r="N416" i="1" s="1"/>
  <c r="M415" i="1"/>
  <c r="N415" i="1" s="1"/>
  <c r="M414" i="1"/>
  <c r="N414" i="1" s="1"/>
  <c r="M413" i="1"/>
  <c r="N413" i="1" s="1"/>
  <c r="M412" i="1"/>
  <c r="N412" i="1" s="1"/>
  <c r="M411" i="1"/>
  <c r="N411" i="1" s="1"/>
  <c r="P410" i="1"/>
  <c r="M410" i="1"/>
  <c r="M409" i="1"/>
  <c r="P409" i="1"/>
  <c r="Q383" i="1"/>
  <c r="N383" i="1"/>
  <c r="N573" i="1" l="1"/>
  <c r="Q577" i="1"/>
  <c r="M569" i="1"/>
  <c r="N570" i="1"/>
  <c r="N574" i="1"/>
  <c r="N575" i="1"/>
  <c r="Q571" i="1"/>
  <c r="L569" i="1"/>
  <c r="O569" i="1"/>
  <c r="Q576" i="1"/>
  <c r="N571" i="1"/>
  <c r="P569" i="1"/>
  <c r="Q572" i="1"/>
  <c r="Q574" i="1"/>
  <c r="N576" i="1"/>
  <c r="Q575" i="1"/>
  <c r="Q573" i="1"/>
  <c r="N572" i="1"/>
  <c r="Q570" i="1"/>
  <c r="N577" i="1"/>
  <c r="N585" i="1"/>
  <c r="Q585" i="1"/>
  <c r="Q548" i="1"/>
  <c r="N553" i="1"/>
  <c r="N551" i="1"/>
  <c r="Q547" i="1"/>
  <c r="M545" i="1"/>
  <c r="N546" i="1"/>
  <c r="N548" i="1"/>
  <c r="N550" i="1"/>
  <c r="N552" i="1"/>
  <c r="N547" i="1"/>
  <c r="Q553" i="1"/>
  <c r="Q550" i="1"/>
  <c r="Q551" i="1"/>
  <c r="Q546" i="1"/>
  <c r="O545" i="1"/>
  <c r="Q549" i="1"/>
  <c r="L545" i="1"/>
  <c r="P545" i="1"/>
  <c r="N549" i="1"/>
  <c r="Q552" i="1"/>
  <c r="Q561" i="1"/>
  <c r="N561" i="1"/>
  <c r="N527" i="1"/>
  <c r="N522" i="1"/>
  <c r="Q526" i="1"/>
  <c r="Q528" i="1"/>
  <c r="N525" i="1"/>
  <c r="L521" i="1"/>
  <c r="N524" i="1"/>
  <c r="N526" i="1"/>
  <c r="Q523" i="1"/>
  <c r="Q525" i="1"/>
  <c r="M521" i="1"/>
  <c r="Q527" i="1"/>
  <c r="O521" i="1"/>
  <c r="P521" i="1"/>
  <c r="N528" i="1"/>
  <c r="Q522" i="1"/>
  <c r="Q524" i="1"/>
  <c r="N523" i="1"/>
  <c r="Q529" i="1"/>
  <c r="N529" i="1"/>
  <c r="Q537" i="1"/>
  <c r="N537" i="1"/>
  <c r="N499" i="1"/>
  <c r="N503" i="1"/>
  <c r="P497" i="1"/>
  <c r="Q499" i="1"/>
  <c r="M497" i="1"/>
  <c r="N498" i="1"/>
  <c r="N500" i="1"/>
  <c r="N502" i="1"/>
  <c r="N504" i="1"/>
  <c r="Q502" i="1"/>
  <c r="Q504" i="1"/>
  <c r="Q501" i="1"/>
  <c r="Q498" i="1"/>
  <c r="O497" i="1"/>
  <c r="Q500" i="1"/>
  <c r="Q503" i="1"/>
  <c r="L497" i="1"/>
  <c r="N501" i="1"/>
  <c r="N505" i="1"/>
  <c r="N513" i="1"/>
  <c r="Q505" i="1"/>
  <c r="Q513" i="1"/>
  <c r="Q479" i="1"/>
  <c r="Q478" i="1"/>
  <c r="N478" i="1"/>
  <c r="N476" i="1"/>
  <c r="Q474" i="1"/>
  <c r="Q477" i="1"/>
  <c r="Q476" i="1"/>
  <c r="Q475" i="1"/>
  <c r="N477" i="1"/>
  <c r="N474" i="1"/>
  <c r="N479" i="1"/>
  <c r="Q480" i="1"/>
  <c r="N480" i="1"/>
  <c r="N475" i="1"/>
  <c r="P473" i="1"/>
  <c r="O473" i="1"/>
  <c r="M473" i="1"/>
  <c r="L473" i="1"/>
  <c r="Q481" i="1"/>
  <c r="N481" i="1"/>
  <c r="Q489" i="1"/>
  <c r="N489" i="1"/>
  <c r="Q453" i="1"/>
  <c r="Q456" i="1"/>
  <c r="Q454" i="1"/>
  <c r="Q452" i="1"/>
  <c r="N454" i="1"/>
  <c r="Q455" i="1"/>
  <c r="Q450" i="1"/>
  <c r="N455" i="1"/>
  <c r="L449" i="1"/>
  <c r="M449" i="1"/>
  <c r="P449" i="1"/>
  <c r="N452" i="1"/>
  <c r="O451" i="1"/>
  <c r="O449" i="1" s="1"/>
  <c r="N456" i="1"/>
  <c r="N451" i="1"/>
  <c r="N453" i="1"/>
  <c r="N450" i="1"/>
  <c r="Q465" i="1"/>
  <c r="N465" i="1"/>
  <c r="Q457" i="1"/>
  <c r="L457" i="1"/>
  <c r="N457" i="1" s="1"/>
  <c r="N569" i="1" l="1"/>
  <c r="Q569" i="1"/>
  <c r="N545" i="1"/>
  <c r="Q545" i="1"/>
  <c r="Q521" i="1"/>
  <c r="N521" i="1"/>
  <c r="N497" i="1"/>
  <c r="Q497" i="1"/>
  <c r="Q473" i="1"/>
  <c r="N473" i="1"/>
  <c r="N449" i="1"/>
  <c r="Q451" i="1"/>
  <c r="Q449" i="1"/>
  <c r="P62" i="4" l="1"/>
  <c r="R62" i="4" s="1"/>
  <c r="Q59" i="4"/>
  <c r="P59" i="4"/>
  <c r="Q56" i="4"/>
  <c r="P56" i="4"/>
  <c r="P53" i="4"/>
  <c r="R53" i="4" s="1"/>
  <c r="Q52" i="4"/>
  <c r="P52" i="4"/>
  <c r="P35" i="4"/>
  <c r="P34" i="4"/>
  <c r="P33" i="4"/>
  <c r="P32" i="4"/>
  <c r="P31" i="4"/>
  <c r="P30" i="4"/>
  <c r="P29" i="4"/>
  <c r="P28" i="4"/>
  <c r="R27" i="4"/>
  <c r="N27" i="4"/>
  <c r="R26" i="4"/>
  <c r="N26" i="4"/>
  <c r="R25" i="4"/>
  <c r="N25" i="4"/>
  <c r="R24" i="4"/>
  <c r="N24" i="4"/>
  <c r="R23" i="4"/>
  <c r="N23" i="4"/>
  <c r="R22" i="4"/>
  <c r="N22" i="4"/>
  <c r="R21" i="4"/>
  <c r="N21" i="4"/>
  <c r="R20" i="4"/>
  <c r="N20" i="4"/>
  <c r="R19" i="4"/>
  <c r="N19" i="4"/>
  <c r="R18" i="4"/>
  <c r="N18" i="4"/>
  <c r="R17" i="4"/>
  <c r="N17" i="4"/>
  <c r="R16" i="4"/>
  <c r="N16" i="4"/>
  <c r="Q15" i="4"/>
  <c r="R15" i="4" s="1"/>
  <c r="M15" i="4"/>
  <c r="L15" i="4"/>
  <c r="Q14" i="4"/>
  <c r="R14" i="4" s="1"/>
  <c r="M14" i="4"/>
  <c r="L14" i="4"/>
  <c r="Q13" i="4"/>
  <c r="P13" i="4"/>
  <c r="M13" i="4"/>
  <c r="L13" i="4"/>
  <c r="P444" i="1"/>
  <c r="M444" i="1"/>
  <c r="P443" i="1"/>
  <c r="M443" i="1"/>
  <c r="P442" i="1"/>
  <c r="O442" i="1"/>
  <c r="M441" i="1"/>
  <c r="L441" i="1"/>
  <c r="P440" i="1"/>
  <c r="M440" i="1"/>
  <c r="Q439" i="1"/>
  <c r="Q438" i="1"/>
  <c r="Q437" i="1"/>
  <c r="P434" i="1"/>
  <c r="O433" i="1"/>
  <c r="P433" i="1" s="1"/>
  <c r="P432" i="1"/>
  <c r="M431" i="1"/>
  <c r="M430" i="1"/>
  <c r="M425" i="1"/>
  <c r="P385" i="1"/>
  <c r="O385" i="1"/>
  <c r="P384" i="1"/>
  <c r="M384" i="1"/>
  <c r="P382" i="1"/>
  <c r="M382" i="1"/>
  <c r="P381" i="1"/>
  <c r="M381" i="1"/>
  <c r="P380" i="1"/>
  <c r="M380" i="1"/>
  <c r="P379" i="1"/>
  <c r="M379" i="1"/>
  <c r="P378" i="1"/>
  <c r="M378" i="1"/>
  <c r="P377" i="1"/>
  <c r="M377" i="1"/>
  <c r="P376" i="1"/>
  <c r="M376" i="1"/>
  <c r="P375" i="1"/>
  <c r="M375" i="1"/>
  <c r="P374" i="1"/>
  <c r="P373" i="1"/>
  <c r="P372" i="1"/>
  <c r="P371" i="1"/>
  <c r="P370" i="1"/>
  <c r="P369" i="1"/>
  <c r="P368" i="1"/>
  <c r="P367" i="1"/>
  <c r="P366" i="1"/>
  <c r="P365" i="1"/>
  <c r="P364" i="1"/>
  <c r="Q359" i="1"/>
  <c r="Q358" i="1"/>
  <c r="L358" i="1"/>
  <c r="L357" i="1" s="1"/>
  <c r="P357" i="1"/>
  <c r="Q357" i="1" s="1"/>
  <c r="M357" i="1"/>
  <c r="M355" i="1"/>
  <c r="N355" i="1" s="1"/>
  <c r="M354" i="1"/>
  <c r="L354" i="1"/>
  <c r="M353" i="1"/>
  <c r="N353" i="1" s="1"/>
  <c r="M352" i="1"/>
  <c r="N352" i="1" s="1"/>
  <c r="M351" i="1"/>
  <c r="N351" i="1" s="1"/>
  <c r="M350" i="1"/>
  <c r="N350" i="1" s="1"/>
  <c r="M349" i="1"/>
  <c r="N349" i="1" s="1"/>
  <c r="M348" i="1"/>
  <c r="N348" i="1" s="1"/>
  <c r="N347" i="1"/>
  <c r="P346" i="1"/>
  <c r="M346" i="1"/>
  <c r="P345" i="1"/>
  <c r="M345" i="1"/>
  <c r="P344" i="1"/>
  <c r="M344" i="1"/>
  <c r="P343" i="1"/>
  <c r="M343" i="1"/>
  <c r="P342" i="1"/>
  <c r="M342" i="1"/>
  <c r="P341" i="1"/>
  <c r="M341" i="1"/>
  <c r="P340" i="1"/>
  <c r="M339" i="1"/>
  <c r="P337" i="1"/>
  <c r="M337" i="1"/>
  <c r="P336" i="1"/>
  <c r="M336" i="1"/>
  <c r="O335" i="1"/>
  <c r="Q335" i="1" s="1"/>
  <c r="O334" i="1"/>
  <c r="Q334" i="1" s="1"/>
  <c r="O333" i="1"/>
  <c r="Q333" i="1" s="1"/>
  <c r="P320" i="1"/>
  <c r="O320" i="1"/>
  <c r="M320" i="1"/>
  <c r="L320" i="1"/>
  <c r="P315" i="1"/>
  <c r="O315" i="1"/>
  <c r="M315" i="1"/>
  <c r="L315" i="1"/>
  <c r="P314" i="1"/>
  <c r="O314" i="1"/>
  <c r="M314" i="1"/>
  <c r="L314" i="1"/>
  <c r="P313" i="1"/>
  <c r="O313" i="1"/>
  <c r="M313" i="1"/>
  <c r="L313" i="1"/>
  <c r="P312" i="1"/>
  <c r="O312" i="1"/>
  <c r="M312" i="1"/>
  <c r="L312" i="1"/>
  <c r="P311" i="1"/>
  <c r="O311" i="1"/>
  <c r="M311" i="1"/>
  <c r="L311" i="1"/>
  <c r="Q310" i="1"/>
  <c r="N310" i="1"/>
  <c r="P227" i="1"/>
  <c r="M227" i="1"/>
  <c r="P226" i="1"/>
  <c r="M226" i="1"/>
  <c r="P225" i="1"/>
  <c r="M225" i="1"/>
  <c r="P224" i="1"/>
  <c r="M224" i="1"/>
  <c r="P223" i="1"/>
  <c r="M223" i="1"/>
  <c r="P222" i="1"/>
  <c r="M222" i="1"/>
  <c r="O221" i="1"/>
  <c r="P221" i="1" s="1"/>
  <c r="L221" i="1"/>
  <c r="M221" i="1" s="1"/>
  <c r="P220" i="1"/>
  <c r="M220" i="1"/>
  <c r="P219" i="1"/>
  <c r="M219" i="1"/>
  <c r="P218" i="1"/>
  <c r="M218" i="1"/>
  <c r="P217" i="1"/>
  <c r="M217" i="1"/>
  <c r="P216" i="1"/>
  <c r="M216" i="1"/>
  <c r="P215" i="1"/>
  <c r="M215" i="1"/>
  <c r="O214" i="1"/>
  <c r="P214" i="1" s="1"/>
  <c r="L214" i="1"/>
  <c r="M214" i="1" s="1"/>
  <c r="O213" i="1"/>
  <c r="L213" i="1"/>
  <c r="O212" i="1"/>
  <c r="L212" i="1"/>
  <c r="O211" i="1"/>
  <c r="L211" i="1"/>
  <c r="O210" i="1"/>
  <c r="L210" i="1"/>
  <c r="O209" i="1"/>
  <c r="L209" i="1"/>
  <c r="O208" i="1"/>
  <c r="L208" i="1"/>
  <c r="P207" i="1"/>
  <c r="M207" i="1"/>
  <c r="P206" i="1"/>
  <c r="L203" i="1"/>
  <c r="N203" i="1" s="1"/>
  <c r="M202" i="1"/>
  <c r="L202" i="1"/>
  <c r="P200" i="1"/>
  <c r="P199" i="1"/>
  <c r="P198" i="1"/>
  <c r="M197" i="1"/>
  <c r="P194" i="1"/>
  <c r="O194" i="1"/>
  <c r="P193" i="1"/>
  <c r="Q193" i="1" s="1"/>
  <c r="M193" i="1"/>
  <c r="L193" i="1"/>
  <c r="P191" i="1"/>
  <c r="M191" i="1"/>
  <c r="P190" i="1"/>
  <c r="M190" i="1"/>
  <c r="P189" i="1"/>
  <c r="M189" i="1"/>
  <c r="P188" i="1"/>
  <c r="Q188" i="1" s="1"/>
  <c r="M188" i="1"/>
  <c r="L188" i="1"/>
  <c r="P187" i="1"/>
  <c r="O187" i="1"/>
  <c r="L186" i="1"/>
  <c r="N186" i="1" s="1"/>
  <c r="N185" i="1"/>
  <c r="M181" i="1"/>
  <c r="Q180" i="1"/>
  <c r="Q179" i="1"/>
  <c r="Q178" i="1"/>
  <c r="Q177" i="1"/>
  <c r="Q176" i="1"/>
  <c r="Q175" i="1"/>
  <c r="Q174" i="1"/>
  <c r="N174" i="1"/>
  <c r="Q173" i="1"/>
  <c r="N173" i="1"/>
  <c r="P172" i="1"/>
  <c r="Q172" i="1" s="1"/>
  <c r="M172" i="1"/>
  <c r="L172" i="1"/>
  <c r="Q170" i="1"/>
  <c r="Q169" i="1"/>
  <c r="Q168" i="1"/>
  <c r="Q167" i="1"/>
  <c r="Q166" i="1"/>
  <c r="Q165" i="1"/>
  <c r="Q164" i="1"/>
  <c r="Q163" i="1"/>
  <c r="O162" i="1"/>
  <c r="Q162" i="1" s="1"/>
  <c r="P161" i="1"/>
  <c r="M161" i="1"/>
  <c r="P160" i="1"/>
  <c r="M160" i="1"/>
  <c r="P159" i="1"/>
  <c r="M159" i="1"/>
  <c r="P158" i="1"/>
  <c r="M158" i="1"/>
  <c r="O157" i="1"/>
  <c r="Q157" i="1" s="1"/>
  <c r="O156" i="1"/>
  <c r="Q156" i="1" s="1"/>
  <c r="Q149" i="1"/>
  <c r="Q148" i="1"/>
  <c r="Q147" i="1"/>
  <c r="Q146" i="1"/>
  <c r="P145" i="1"/>
  <c r="Q145" i="1" s="1"/>
  <c r="Q144" i="1"/>
  <c r="Q143" i="1"/>
  <c r="Q142" i="1"/>
  <c r="Q141" i="1"/>
  <c r="P140" i="1"/>
  <c r="Q140" i="1" s="1"/>
  <c r="P139" i="1"/>
  <c r="O139" i="1"/>
  <c r="P138" i="1"/>
  <c r="O138" i="1"/>
  <c r="P137" i="1"/>
  <c r="O137" i="1"/>
  <c r="P136" i="1"/>
  <c r="O136" i="1"/>
  <c r="O135" i="1"/>
  <c r="P128" i="1"/>
  <c r="P121" i="1"/>
  <c r="P120" i="1"/>
  <c r="R56" i="4" l="1"/>
  <c r="N15" i="4"/>
  <c r="N13" i="4"/>
  <c r="R59" i="4"/>
  <c r="R13" i="4"/>
  <c r="R52" i="4"/>
  <c r="N14" i="4"/>
  <c r="P211" i="1"/>
  <c r="Q211" i="1" s="1"/>
  <c r="Q442" i="1"/>
  <c r="M210" i="1"/>
  <c r="N210" i="1" s="1"/>
  <c r="P209" i="1"/>
  <c r="Q209" i="1" s="1"/>
  <c r="Q136" i="1"/>
  <c r="N311" i="1"/>
  <c r="N354" i="1"/>
  <c r="Q385" i="1"/>
  <c r="P135" i="1"/>
  <c r="Q135" i="1" s="1"/>
  <c r="Q314" i="1"/>
  <c r="Q194" i="1"/>
  <c r="N315" i="1"/>
  <c r="P213" i="1"/>
  <c r="Q213" i="1" s="1"/>
  <c r="Q137" i="1"/>
  <c r="P210" i="1"/>
  <c r="Q210" i="1" s="1"/>
  <c r="Q313" i="1"/>
  <c r="N202" i="1"/>
  <c r="Q138" i="1"/>
  <c r="M208" i="1"/>
  <c r="N208" i="1" s="1"/>
  <c r="Q315" i="1"/>
  <c r="N188" i="1"/>
  <c r="P208" i="1"/>
  <c r="Q208" i="1" s="1"/>
  <c r="Q139" i="1"/>
  <c r="N193" i="1"/>
  <c r="M213" i="1"/>
  <c r="N213" i="1" s="1"/>
  <c r="N441" i="1"/>
  <c r="M211" i="1"/>
  <c r="N211" i="1" s="1"/>
  <c r="Q311" i="1"/>
  <c r="N172" i="1"/>
  <c r="Q187" i="1"/>
  <c r="M212" i="1"/>
  <c r="N212" i="1" s="1"/>
  <c r="N312" i="1"/>
  <c r="N314" i="1"/>
  <c r="P212" i="1"/>
  <c r="Q212" i="1" s="1"/>
  <c r="M209" i="1"/>
  <c r="N209" i="1" s="1"/>
  <c r="Q312" i="1"/>
  <c r="N320" i="1"/>
  <c r="N358" i="1"/>
  <c r="N313" i="1"/>
  <c r="Q320" i="1"/>
  <c r="N357" i="1"/>
</calcChain>
</file>

<file path=xl/sharedStrings.xml><?xml version="1.0" encoding="utf-8"?>
<sst xmlns="http://schemas.openxmlformats.org/spreadsheetml/2006/main" count="7732" uniqueCount="663">
  <si>
    <t>First author</t>
  </si>
  <si>
    <t>Year published</t>
  </si>
  <si>
    <t>Country or Area</t>
  </si>
  <si>
    <t>City/town/area</t>
  </si>
  <si>
    <t>Study name</t>
  </si>
  <si>
    <t>Study year</t>
  </si>
  <si>
    <t>Group tested</t>
  </si>
  <si>
    <t>Assay</t>
  </si>
  <si>
    <t>Europe</t>
  </si>
  <si>
    <t>Unknown</t>
  </si>
  <si>
    <t>N/A</t>
  </si>
  <si>
    <t>F</t>
  </si>
  <si>
    <t>Range: 27-30</t>
  </si>
  <si>
    <t>Americas</t>
  </si>
  <si>
    <t>USA</t>
  </si>
  <si>
    <t>India</t>
  </si>
  <si>
    <t>M+F</t>
  </si>
  <si>
    <t>Arama</t>
  </si>
  <si>
    <t>Romania</t>
  </si>
  <si>
    <t>All</t>
  </si>
  <si>
    <t>EPI40077/6822010</t>
  </si>
  <si>
    <t>2004-2007</t>
  </si>
  <si>
    <t>General population</t>
  </si>
  <si>
    <t>M</t>
  </si>
  <si>
    <t>Range: 15-19</t>
  </si>
  <si>
    <t>Range: 20-24</t>
  </si>
  <si>
    <t>Range: 25-29</t>
  </si>
  <si>
    <t>Range: 30-34</t>
  </si>
  <si>
    <t>Range: 35-39</t>
  </si>
  <si>
    <t>Range: 40-45</t>
  </si>
  <si>
    <t>Balaeva</t>
  </si>
  <si>
    <t>Arkhangelsk</t>
  </si>
  <si>
    <t>2010-2011</t>
  </si>
  <si>
    <t>IgG ELISA (Vector-Best, Novosibirsk, RU)</t>
  </si>
  <si>
    <t>Mean: 27.3, range: 18-39</t>
  </si>
  <si>
    <t>Range: 18-24</t>
  </si>
  <si>
    <t>Mean: 27.6, range: 18-39</t>
  </si>
  <si>
    <t>Mean: 27, range: 18-39</t>
  </si>
  <si>
    <t>Bolu</t>
  </si>
  <si>
    <t>Ankara</t>
  </si>
  <si>
    <t>2009-2014</t>
  </si>
  <si>
    <t>ELISA</t>
  </si>
  <si>
    <t>Mean: 22.32, standard deviation: 3.21</t>
  </si>
  <si>
    <t>National</t>
  </si>
  <si>
    <t>NHANES</t>
  </si>
  <si>
    <t>Range: 14-19</t>
  </si>
  <si>
    <t>Range: 40-49</t>
  </si>
  <si>
    <t>Breyer</t>
  </si>
  <si>
    <t>Various</t>
  </si>
  <si>
    <t>PLCO</t>
  </si>
  <si>
    <t>1993-2001</t>
  </si>
  <si>
    <t>IgG Solid-phase enzymatic immunodot assay</t>
  </si>
  <si>
    <t>Mean: 64.3, range: 55-74</t>
  </si>
  <si>
    <t>China</t>
  </si>
  <si>
    <t>Cheslack-Postava</t>
  </si>
  <si>
    <t>FIPS-S</t>
  </si>
  <si>
    <t>1983-1998</t>
  </si>
  <si>
    <t>Pregnant women</t>
  </si>
  <si>
    <t>Mean: 28, standard deviation: 5.1</t>
  </si>
  <si>
    <t>Conde-Gelz</t>
  </si>
  <si>
    <t>ENSANUT 2006</t>
  </si>
  <si>
    <t>ELISA IgG Euroimmun (Medizinsche Lab, Germany)</t>
  </si>
  <si>
    <t>Median: 29, range: 1-95</t>
  </si>
  <si>
    <t>Range: 1-9</t>
  </si>
  <si>
    <t>Range: 10-19</t>
  </si>
  <si>
    <t>Range: &gt;=20</t>
  </si>
  <si>
    <t>Dargham</t>
  </si>
  <si>
    <t>Nationwide</t>
  </si>
  <si>
    <t>2013-2016</t>
  </si>
  <si>
    <t>Blood donors</t>
  </si>
  <si>
    <t>Range: &lt;24 - &gt;55</t>
  </si>
  <si>
    <t>Range: &lt;24</t>
  </si>
  <si>
    <t>Range: 40-44</t>
  </si>
  <si>
    <t>Range: 45-49</t>
  </si>
  <si>
    <t>Range: 50-54</t>
  </si>
  <si>
    <t>Range: &gt;=55</t>
  </si>
  <si>
    <t>De Witte</t>
  </si>
  <si>
    <t>GROUP</t>
  </si>
  <si>
    <t>2006-2009</t>
  </si>
  <si>
    <t>IgG ELISA (IBL, Hamburg, Germany)</t>
  </si>
  <si>
    <t>Mean: 34.5, standard deviation: 10.5, range: 18-55</t>
  </si>
  <si>
    <t>Delaney</t>
  </si>
  <si>
    <t>Washington</t>
  </si>
  <si>
    <t>1989-2010</t>
  </si>
  <si>
    <t>Western Blot</t>
  </si>
  <si>
    <t>Median: 28, IQR: [23,33]</t>
  </si>
  <si>
    <t>1989-1999</t>
  </si>
  <si>
    <t>2000-2010</t>
  </si>
  <si>
    <t>2011-2014</t>
  </si>
  <si>
    <t>HerpeSelect 2 ELISA (Focus, Cypress, CA)</t>
  </si>
  <si>
    <t>Domercant</t>
  </si>
  <si>
    <t>National HIV and Syphilis Sentinel Surveillance Survey (2012)</t>
  </si>
  <si>
    <t>Pregnant women at risk of HIV</t>
  </si>
  <si>
    <t>HerpeSelect ELISA (Focus, Cypress, CA)</t>
  </si>
  <si>
    <t>Range: &gt;=35</t>
  </si>
  <si>
    <t>Dowd</t>
  </si>
  <si>
    <t xml:space="preserve">Europe </t>
  </si>
  <si>
    <t>London</t>
  </si>
  <si>
    <t>Whitehall II Cohort</t>
  </si>
  <si>
    <t>2006-2008</t>
  </si>
  <si>
    <t>Volunteers with no history of heart problems</t>
  </si>
  <si>
    <t>IgG ELISA</t>
  </si>
  <si>
    <t>Mean: 63.4, standard deviation: 5.63, range: 53-76</t>
  </si>
  <si>
    <t>Finger-Jardim</t>
  </si>
  <si>
    <t>Rio Grande</t>
  </si>
  <si>
    <t>2012-2014</t>
  </si>
  <si>
    <t>Pregnant women in obstetric ward</t>
  </si>
  <si>
    <t>ELISA HSV-2 (Virion/Serion, Wurzburg, Germany)</t>
  </si>
  <si>
    <t>Mean: 24.8</t>
  </si>
  <si>
    <t>Newborns in obstetric ward</t>
  </si>
  <si>
    <t>0</t>
  </si>
  <si>
    <t>Fruchter</t>
  </si>
  <si>
    <t>IgG ELISA (HerpeSelect, Focus diagnostics, Cypress, CA)</t>
  </si>
  <si>
    <t>Range: 19-21</t>
  </si>
  <si>
    <t>Gilbert</t>
  </si>
  <si>
    <t>Thailand</t>
  </si>
  <si>
    <t>Rayong and Chon Bhuri</t>
  </si>
  <si>
    <t>RV144</t>
  </si>
  <si>
    <t>2003-2005</t>
  </si>
  <si>
    <t>IgG BAMA and HSV-2 Western Blot</t>
  </si>
  <si>
    <t>Range: 18-30</t>
  </si>
  <si>
    <t xml:space="preserve">Gorfinkel </t>
  </si>
  <si>
    <t>Canada</t>
  </si>
  <si>
    <t>Herpevac Trial</t>
  </si>
  <si>
    <t>2005-2007</t>
  </si>
  <si>
    <t>General population females</t>
  </si>
  <si>
    <t>Range: 17-22</t>
  </si>
  <si>
    <t>Range: 23-26</t>
  </si>
  <si>
    <t>2011-2012</t>
  </si>
  <si>
    <t>Hamdani</t>
  </si>
  <si>
    <t>Paris</t>
  </si>
  <si>
    <t>2008-2014</t>
  </si>
  <si>
    <t>Mean: 40.1, standard deviation: 13.8</t>
  </si>
  <si>
    <t>Hartog</t>
  </si>
  <si>
    <t>Amsterdam</t>
  </si>
  <si>
    <t>Amsterdam Health Monitor</t>
  </si>
  <si>
    <t>Antibody assays (Herpeselect, Focus, US)</t>
  </si>
  <si>
    <t>Mean: 48, standard deviation: 14</t>
  </si>
  <si>
    <t>Hochberg</t>
  </si>
  <si>
    <t>Andhra Pradesh</t>
  </si>
  <si>
    <t>2004-2011</t>
  </si>
  <si>
    <t>HerpeSelect IgG ELISA (Focus, CA, USA)</t>
  </si>
  <si>
    <t>Range: 15-49</t>
  </si>
  <si>
    <t>Mean: 30.2, standard deviation: 9.5, range: 15-49</t>
  </si>
  <si>
    <t>Hsu</t>
  </si>
  <si>
    <t>South</t>
  </si>
  <si>
    <t>2007-2011</t>
  </si>
  <si>
    <t>General Population</t>
  </si>
  <si>
    <t>Jahanbakhsh</t>
  </si>
  <si>
    <t>Tehran</t>
  </si>
  <si>
    <t>People who had been homeless for 10+ days</t>
  </si>
  <si>
    <t>IgG ELISA (Dia.Pro, Diagnostics Birprobes srl., Italy)</t>
  </si>
  <si>
    <t>Mean: 42, range: 18-60</t>
  </si>
  <si>
    <t>Jansen</t>
  </si>
  <si>
    <t>Rotterdam</t>
  </si>
  <si>
    <t>Generation R</t>
  </si>
  <si>
    <t>2008-2012</t>
  </si>
  <si>
    <t>Children born 2002-2006</t>
  </si>
  <si>
    <t>IgG (euro-immun, lubeck, Germany)</t>
  </si>
  <si>
    <t>Mean: 6.2, standard deviation: 0.6, median: 6</t>
  </si>
  <si>
    <t>Mean: 30.5, standard deviation: 5.2</t>
  </si>
  <si>
    <t>Mean: 6.2, range: 4.9-9.1</t>
  </si>
  <si>
    <t>Jonker, Jonker, Jonker</t>
  </si>
  <si>
    <t>2017, 2014, 2017</t>
  </si>
  <si>
    <t>North</t>
  </si>
  <si>
    <t>TRIALS</t>
  </si>
  <si>
    <t>2001-2009</t>
  </si>
  <si>
    <t>School children</t>
  </si>
  <si>
    <t>Mean: 16.1, standard deviation: 0.6</t>
  </si>
  <si>
    <t>Karachaliou</t>
  </si>
  <si>
    <t>2016, 2016, 2018</t>
  </si>
  <si>
    <t>Crete</t>
  </si>
  <si>
    <t>Rhea</t>
  </si>
  <si>
    <t>2007-2008</t>
  </si>
  <si>
    <t>Children of mothers recruited during pregnancy</t>
  </si>
  <si>
    <t>IgG fluorescent bead based multiplex serology</t>
  </si>
  <si>
    <t>Mean: 4.2, standard deviation: 0.2</t>
  </si>
  <si>
    <t>Kelly</t>
  </si>
  <si>
    <t>San Francisco</t>
  </si>
  <si>
    <t>SHADOW</t>
  </si>
  <si>
    <t>Homeless and unstably housed women</t>
  </si>
  <si>
    <t>Herpeselect 2 IgG (Quest Diagnostics)</t>
  </si>
  <si>
    <t>Median: 49, IQR: [43,54]</t>
  </si>
  <si>
    <t>Korr</t>
  </si>
  <si>
    <t>DEGS</t>
  </si>
  <si>
    <t>2008-2011</t>
  </si>
  <si>
    <t>IgG CLIA (LIASON HSV1/2, DiaSorin, von Hevesy-Strasse 3, 63128 Dietzen-bech)</t>
  </si>
  <si>
    <t xml:space="preserve">M+F </t>
  </si>
  <si>
    <t>Range: 18-64</t>
  </si>
  <si>
    <t>Range: 25-34</t>
  </si>
  <si>
    <t>Range: 35-44</t>
  </si>
  <si>
    <t>Range: 45-54</t>
  </si>
  <si>
    <t>Range: 55-64</t>
  </si>
  <si>
    <t>Li</t>
  </si>
  <si>
    <t>2009-2010</t>
  </si>
  <si>
    <t>Range: &lt;20</t>
  </si>
  <si>
    <t>ELISA IgG</t>
  </si>
  <si>
    <t>Shanghai</t>
  </si>
  <si>
    <t>2013-2014</t>
  </si>
  <si>
    <t>HerpeSelect 2 ELISA IgG (Focus, CA)</t>
  </si>
  <si>
    <t>Marchi</t>
  </si>
  <si>
    <t>Sienna</t>
  </si>
  <si>
    <t>BEIA HSV1/2 IgG ELISA (TechnoGenetics, Milano, Italy)</t>
  </si>
  <si>
    <t>Range: 0-50+</t>
  </si>
  <si>
    <t>Range: 0-14</t>
  </si>
  <si>
    <t>Range: 50+</t>
  </si>
  <si>
    <t>Africa</t>
  </si>
  <si>
    <t>Masel</t>
  </si>
  <si>
    <t>US Military Personnel</t>
  </si>
  <si>
    <t>IgG EIA  Bioplex Immunoassay, Bio-Rad laboratories, Hercules, CA)</t>
  </si>
  <si>
    <t>Range: 21-32</t>
  </si>
  <si>
    <t>Range: 21-23</t>
  </si>
  <si>
    <t>Range: 24-25</t>
  </si>
  <si>
    <t>Range: 26-27</t>
  </si>
  <si>
    <t>Range: 28-32</t>
  </si>
  <si>
    <t>2015-2016</t>
  </si>
  <si>
    <t>Memish</t>
  </si>
  <si>
    <t>2012-2013</t>
  </si>
  <si>
    <t>IgG ELISA (Vircell Micro-biologist, Grenada, Spain)</t>
  </si>
  <si>
    <t>Mean: 33, range: 18-113</t>
  </si>
  <si>
    <t>18</t>
  </si>
  <si>
    <t>Range: 19-30</t>
  </si>
  <si>
    <t>Range: 31-50</t>
  </si>
  <si>
    <t>Range: &gt;50</t>
  </si>
  <si>
    <t>IgG ELISA (Euroimmun, Lubek, Germany)</t>
  </si>
  <si>
    <t>Moore</t>
  </si>
  <si>
    <t>Detroit</t>
  </si>
  <si>
    <t>SELF</t>
  </si>
  <si>
    <t>2010-2012</t>
  </si>
  <si>
    <t>African-American women</t>
  </si>
  <si>
    <t>Median: 29, range: 23-34</t>
  </si>
  <si>
    <t>Range: 31-35</t>
  </si>
  <si>
    <t>Moreira-Soto</t>
  </si>
  <si>
    <t>North East</t>
  </si>
  <si>
    <t>Immunoblot test (Euroline [anti-TORCH-10 profile]; Euroimmun)</t>
  </si>
  <si>
    <t>Mean: 26.8, standard deviation: 6.6</t>
  </si>
  <si>
    <r>
      <rPr>
        <sz val="11"/>
        <color indexed="8"/>
        <rFont val="Calibri"/>
        <family val="2"/>
      </rPr>
      <t xml:space="preserve">Pregnant women in ZIKA area </t>
    </r>
    <r>
      <rPr>
        <b/>
        <sz val="11"/>
        <color indexed="8"/>
        <rFont val="Calibri"/>
        <family val="2"/>
      </rPr>
      <t>controls</t>
    </r>
  </si>
  <si>
    <t>Mean: 28.9, standard deviation: 6.6</t>
  </si>
  <si>
    <t>Moretti</t>
  </si>
  <si>
    <t>2014-2015</t>
  </si>
  <si>
    <t>BEIA HSV 1 IgG</t>
  </si>
  <si>
    <t>Median: 33, IQR: [27,39]</t>
  </si>
  <si>
    <t>Murdock</t>
  </si>
  <si>
    <t>Texas</t>
  </si>
  <si>
    <t xml:space="preserve">Texas City stress and health study </t>
  </si>
  <si>
    <t xml:space="preserve">IgG titers </t>
  </si>
  <si>
    <t>Mean: 52.78, standard deviation: 16.05, Range: 25-65+</t>
  </si>
  <si>
    <t>Nag</t>
  </si>
  <si>
    <t>Kolkata</t>
  </si>
  <si>
    <t>IgG ELISA (SERION ELISA Classic; Manufacturer Fabricant; Institut Virion/Serion GmbH, Germany)</t>
  </si>
  <si>
    <t>Range: 26-45</t>
  </si>
  <si>
    <t>Range: 18-25</t>
  </si>
  <si>
    <t>Range: 26-35</t>
  </si>
  <si>
    <t>Range: 36-45</t>
  </si>
  <si>
    <t>Range: 46-55</t>
  </si>
  <si>
    <t>Nasrallah</t>
  </si>
  <si>
    <t>Male blood donors</t>
  </si>
  <si>
    <t>HerpeSelect 1 ELISA IgG (Focus Diagnostics)</t>
  </si>
  <si>
    <t>Range: &lt;=24</t>
  </si>
  <si>
    <t>Nimgaonkar</t>
  </si>
  <si>
    <t>Pennsylvania</t>
  </si>
  <si>
    <t>MYHAT</t>
  </si>
  <si>
    <t>Adults age 65+ not in long term care</t>
  </si>
  <si>
    <t>ELISA (Focus Diagnostics, Cypress, CA)</t>
  </si>
  <si>
    <t>Mean: 77.5, standard deviation: 7.5</t>
  </si>
  <si>
    <t>Nowotny</t>
  </si>
  <si>
    <t>San Antonio</t>
  </si>
  <si>
    <t>SALTO</t>
  </si>
  <si>
    <t>Mexican-Americans</t>
  </si>
  <si>
    <t>IgG CLIA (DiaSorin Liaison XL Analyzer)</t>
  </si>
  <si>
    <t>Mean: 33.4, standard deviation: 2.47</t>
  </si>
  <si>
    <t>Olsson</t>
  </si>
  <si>
    <t>Umea</t>
  </si>
  <si>
    <t>Betula</t>
  </si>
  <si>
    <t>IgG ELISA (HerpeSelect, Focus diagnostics)</t>
  </si>
  <si>
    <t>Mean: 60.7, standard deviation: 16.2, range: 35-95</t>
  </si>
  <si>
    <t>Patel</t>
  </si>
  <si>
    <t>Baltimore</t>
  </si>
  <si>
    <t>Emergency department patients</t>
  </si>
  <si>
    <t>Median: 45.3, IQR: [33.2-56.8]</t>
  </si>
  <si>
    <t>Range: 65+</t>
  </si>
  <si>
    <t>Puhakka</t>
  </si>
  <si>
    <t>Finnish Maternity Cohort (FMC)</t>
  </si>
  <si>
    <t>Range: &lt;20 - &gt;=35</t>
  </si>
  <si>
    <t>1992-2012</t>
  </si>
  <si>
    <t>Range: &gt;= 35</t>
  </si>
  <si>
    <t>Remis</t>
  </si>
  <si>
    <t>Toronto</t>
  </si>
  <si>
    <t>Mean: 35.8, Median: 33.7, IQR: [24-46]</t>
  </si>
  <si>
    <t>Rubicz</t>
  </si>
  <si>
    <t>SAFS</t>
  </si>
  <si>
    <t>1991-1995</t>
  </si>
  <si>
    <t>Mean: 41, range: 16-94</t>
  </si>
  <si>
    <t>Sanchez-Aleman</t>
  </si>
  <si>
    <t>ENSANUT 2012</t>
  </si>
  <si>
    <t>Mean: 29.8, range: 15-49</t>
  </si>
  <si>
    <t>Shannon</t>
  </si>
  <si>
    <t>Median: 34, range: 20-66</t>
  </si>
  <si>
    <t>Shen</t>
  </si>
  <si>
    <t>Taiwan</t>
  </si>
  <si>
    <t>Range: 2m -89y</t>
  </si>
  <si>
    <t>Range: 2m-1y</t>
  </si>
  <si>
    <t>Range: 5-7</t>
  </si>
  <si>
    <t>Range: 14-16</t>
  </si>
  <si>
    <t>Mean: 32.2, standard deviation: 23.3, range: 0.2-89.8</t>
  </si>
  <si>
    <t>Simanek</t>
  </si>
  <si>
    <t>DNHS</t>
  </si>
  <si>
    <t>2008-2009</t>
  </si>
  <si>
    <t>Mean: 24, standard deviation: 15.8, range: 19-91</t>
  </si>
  <si>
    <t>Slawinski</t>
  </si>
  <si>
    <t>ARCH</t>
  </si>
  <si>
    <t>2008-2016</t>
  </si>
  <si>
    <t>Pregnant women attending an antenatal clinic</t>
  </si>
  <si>
    <t>IgG ELISA (Abcam)</t>
  </si>
  <si>
    <t>Range: 18 - &gt;35</t>
  </si>
  <si>
    <t>Range: &gt;35</t>
  </si>
  <si>
    <t>2008-2010</t>
  </si>
  <si>
    <t>Wang</t>
  </si>
  <si>
    <t>WHAS</t>
  </si>
  <si>
    <t>1992-1994(?)</t>
  </si>
  <si>
    <t>IgG ELISA (GenWay Biotech, San Diego, CA)</t>
  </si>
  <si>
    <t>Mean: 74, range: 70-79</t>
  </si>
  <si>
    <t>Werler</t>
  </si>
  <si>
    <t>1987-2012</t>
  </si>
  <si>
    <t>Pregnant women with unsuccessful births</t>
  </si>
  <si>
    <t>Woestenberg</t>
  </si>
  <si>
    <t xml:space="preserve">Pienter 1 </t>
  </si>
  <si>
    <t>1995-1996</t>
  </si>
  <si>
    <t xml:space="preserve">Pienter 2 </t>
  </si>
  <si>
    <t>2006-2007</t>
  </si>
  <si>
    <t>Zhang</t>
  </si>
  <si>
    <t>Range: 18-65</t>
  </si>
  <si>
    <t>MIRA</t>
  </si>
  <si>
    <t>CAPRISA 004</t>
  </si>
  <si>
    <t>KICoS</t>
  </si>
  <si>
    <t>PopART</t>
  </si>
  <si>
    <t>Partners PrEP</t>
  </si>
  <si>
    <t>MDP 301</t>
  </si>
  <si>
    <t>HSV-1 incidence</t>
  </si>
  <si>
    <t>HSV-2 incidence</t>
  </si>
  <si>
    <t>Length of follow-up</t>
  </si>
  <si>
    <t>2006-2010</t>
  </si>
  <si>
    <t>Military personnel</t>
  </si>
  <si>
    <t>IgG EIA (Bioplex, Bio-Rad laboratories, Hercules, CA)</t>
  </si>
  <si>
    <t>% of participants</t>
  </si>
  <si>
    <t>/100PY</t>
  </si>
  <si>
    <t>Guntur district</t>
  </si>
  <si>
    <t>/1000PY</t>
  </si>
  <si>
    <t xml:space="preserve">Gilbert </t>
  </si>
  <si>
    <t>South east</t>
  </si>
  <si>
    <t>2003-2009</t>
  </si>
  <si>
    <t>Western blot</t>
  </si>
  <si>
    <t>Dickson</t>
  </si>
  <si>
    <t>New Zealand</t>
  </si>
  <si>
    <t>Dunedin</t>
  </si>
  <si>
    <t>DMHDS</t>
  </si>
  <si>
    <t>1972 - 2010</t>
  </si>
  <si>
    <t>Range: 0-21</t>
  </si>
  <si>
    <t>Range: 21-26</t>
  </si>
  <si>
    <t>Range: 26-32</t>
  </si>
  <si>
    <t>Range: 32-38</t>
  </si>
  <si>
    <t>Males requiring semen analysis</t>
  </si>
  <si>
    <t xml:space="preserve">Residents of Toronto seeking medical care or in a shelter </t>
  </si>
  <si>
    <t>IgG ELISA (Focus Technologies, the United States of America)</t>
  </si>
  <si>
    <t>IgG ELISA (Focus Technologies, Cypress, CA, the United States of America)</t>
  </si>
  <si>
    <t xml:space="preserve">IgG ELISA (Focus Technologies, Cypress, CA, the United States of America) </t>
  </si>
  <si>
    <t>HerpeSelect IgG ELISA (Focus, CA, the United States of America)</t>
  </si>
  <si>
    <t>the Russian Federation</t>
  </si>
  <si>
    <t xml:space="preserve">the State of Israeli Defence Force recruits </t>
  </si>
  <si>
    <t>Schulte</t>
  </si>
  <si>
    <t>2002-2007</t>
  </si>
  <si>
    <t>Mean: 23, range: 17-43</t>
  </si>
  <si>
    <t>29022</t>
  </si>
  <si>
    <t>Range: &lt;= 18</t>
  </si>
  <si>
    <t>3290</t>
  </si>
  <si>
    <t>3624</t>
  </si>
  <si>
    <t>3238</t>
  </si>
  <si>
    <t>2888</t>
  </si>
  <si>
    <t>2715</t>
  </si>
  <si>
    <t>2639</t>
  </si>
  <si>
    <t>2303</t>
  </si>
  <si>
    <t>1957</t>
  </si>
  <si>
    <t>1652</t>
  </si>
  <si>
    <t>1494</t>
  </si>
  <si>
    <t>1280</t>
  </si>
  <si>
    <t>1072</t>
  </si>
  <si>
    <t>859</t>
  </si>
  <si>
    <t>2013-2015</t>
  </si>
  <si>
    <t>Peking</t>
  </si>
  <si>
    <t>CLIA (Sorin, Italy)</t>
  </si>
  <si>
    <t>Mean: 31, range: 18-48</t>
  </si>
  <si>
    <t>2009</t>
  </si>
  <si>
    <t>Bochner</t>
  </si>
  <si>
    <t>Mysore Taluk</t>
  </si>
  <si>
    <t>IgG ELISA (Focus, Cypress, CA)</t>
  </si>
  <si>
    <t>Median: 20, range: 15-33</t>
  </si>
  <si>
    <t>Range: &lt;=17</t>
  </si>
  <si>
    <t>Range: 18-20</t>
  </si>
  <si>
    <t>Range: &gt;=24</t>
  </si>
  <si>
    <t>2005-2006</t>
  </si>
  <si>
    <t>IgG ELISA (Focus Diagnostics, Philadelphia, PA, the USA))</t>
  </si>
  <si>
    <t>Germany</t>
  </si>
  <si>
    <t>Brazil</t>
  </si>
  <si>
    <t>France</t>
  </si>
  <si>
    <t>Greece</t>
  </si>
  <si>
    <t>Iran</t>
  </si>
  <si>
    <t>Saudi Arabia</t>
  </si>
  <si>
    <t>Sweden</t>
  </si>
  <si>
    <t>Finland</t>
  </si>
  <si>
    <t>Haiti</t>
  </si>
  <si>
    <t>Italy</t>
  </si>
  <si>
    <t>South Africa</t>
  </si>
  <si>
    <t>Israel</t>
  </si>
  <si>
    <t>Turkey</t>
  </si>
  <si>
    <t>Mexico</t>
  </si>
  <si>
    <t>Qatar</t>
  </si>
  <si>
    <t>Cancer screening trial participants (baseline)</t>
  </si>
  <si>
    <t>Controls in a schizophrenia study (baseline)</t>
  </si>
  <si>
    <t>Controls in bipolar and schizophrenia study (baseline)</t>
  </si>
  <si>
    <r>
      <t xml:space="preserve">Pregnant women in ZIKA area </t>
    </r>
    <r>
      <rPr>
        <b/>
        <sz val="11"/>
        <color indexed="8"/>
        <rFont val="Calibri"/>
        <family val="2"/>
      </rPr>
      <t>cases</t>
    </r>
  </si>
  <si>
    <t>27</t>
  </si>
  <si>
    <t>20</t>
  </si>
  <si>
    <t>22</t>
  </si>
  <si>
    <t>23</t>
  </si>
  <si>
    <t>24</t>
  </si>
  <si>
    <t>21</t>
  </si>
  <si>
    <t>25</t>
  </si>
  <si>
    <t>26</t>
  </si>
  <si>
    <t>28</t>
  </si>
  <si>
    <t>29</t>
  </si>
  <si>
    <t>19</t>
  </si>
  <si>
    <t>17</t>
  </si>
  <si>
    <t>2016</t>
  </si>
  <si>
    <t>Abbai</t>
  </si>
  <si>
    <t>KwaZulu-Natal</t>
  </si>
  <si>
    <t>Women participating in an HIV trial (baseline)</t>
  </si>
  <si>
    <t>HerpeSelect IgG ELISA (Focus Technologies, Cypress, CA, USA)</t>
  </si>
  <si>
    <t>Range: &lt;25 - 35+</t>
  </si>
  <si>
    <t>Abdool Karim</t>
  </si>
  <si>
    <t>High school students</t>
  </si>
  <si>
    <t>HerpeSelect IgG ELISA (Focus Diagnostics, CA, USA)</t>
  </si>
  <si>
    <t>Range: 12-28</t>
  </si>
  <si>
    <t>Range: &lt;=15</t>
  </si>
  <si>
    <t>Range: 16-17</t>
  </si>
  <si>
    <t>Range: 18-19</t>
  </si>
  <si>
    <t>Range: 13-24</t>
  </si>
  <si>
    <t>2007-2010</t>
  </si>
  <si>
    <t>IgG ELISA (Kalon Biological)</t>
  </si>
  <si>
    <t>Mean: 22.2, standard deviation: 3.6 (tenofovir arm); mean: 21.6, standard deviation: 3.4 (placebo arm) for those HSV-negative</t>
  </si>
  <si>
    <t>Otieno, Akinyi, Gumbe</t>
  </si>
  <si>
    <t>2015, 2017, 2015</t>
  </si>
  <si>
    <t>Kenya</t>
  </si>
  <si>
    <t>Kisumu</t>
  </si>
  <si>
    <t>Sexually active, HIV-negative, non-pregnant adults</t>
  </si>
  <si>
    <t>Range: 16-34</t>
  </si>
  <si>
    <t>2007-2009</t>
  </si>
  <si>
    <t>Kalon HSV-2 IgG ELISA</t>
  </si>
  <si>
    <t>Anjulo</t>
  </si>
  <si>
    <t>Ethiopia</t>
  </si>
  <si>
    <t>Wolaita zone</t>
  </si>
  <si>
    <t>HerpeSelect 2 IgG ELISA (Focus Diagnostics, CA, USA)</t>
  </si>
  <si>
    <t>Mean: 24.15, standard deviation: 4.93, range: 15-40</t>
  </si>
  <si>
    <t>Range: &gt;=30</t>
  </si>
  <si>
    <t>Behling</t>
  </si>
  <si>
    <t>Western Province</t>
  </si>
  <si>
    <t>School students in an HIV prevention education trial (baseline)</t>
  </si>
  <si>
    <t>IgG ELISA (HerpeSelect 2, Focus diagnostics, Cypress, CA)</t>
  </si>
  <si>
    <t>Range: 18-22</t>
  </si>
  <si>
    <t>Bradley</t>
  </si>
  <si>
    <t>South Africa, Zambia</t>
  </si>
  <si>
    <t>Range: 18-44</t>
  </si>
  <si>
    <t>Celum</t>
  </si>
  <si>
    <t>9 sites</t>
  </si>
  <si>
    <t>Antibodies, EIA (Focus technologies, Cypress, CA), indeterminate clarified using HSV-2 specific Western blot</t>
  </si>
  <si>
    <t>Range: 26-36</t>
  </si>
  <si>
    <t>Chattopadhyay</t>
  </si>
  <si>
    <t>Women without cervical cancer</t>
  </si>
  <si>
    <t>IgG ELISA (HerpeSelect 2)</t>
  </si>
  <si>
    <t>Mean: 43, standard deviation: 8.5</t>
  </si>
  <si>
    <t xml:space="preserve">Daniels </t>
  </si>
  <si>
    <t>Durban</t>
  </si>
  <si>
    <t>2005-2009</t>
  </si>
  <si>
    <t>HIV-negative women in a trial of a microbicide (baseline)</t>
  </si>
  <si>
    <t>Median: 27, IQR: [23,37], range: 18-38+</t>
  </si>
  <si>
    <t>Malawi</t>
  </si>
  <si>
    <t>Fearon</t>
  </si>
  <si>
    <t>Agincourt HDSS</t>
  </si>
  <si>
    <t>HPTN 068</t>
  </si>
  <si>
    <t>IgG ELISA (Kalon Biologics, Guildford, UK)</t>
  </si>
  <si>
    <t>Mean: 15.5, median: 15, range: 13-20</t>
  </si>
  <si>
    <t>Glynn</t>
  </si>
  <si>
    <t>Karonga District</t>
  </si>
  <si>
    <t>specific enzyme immunoassay (Kalon Biological, Surrey, UK)</t>
  </si>
  <si>
    <t>Range: 15-30</t>
  </si>
  <si>
    <t>Hallfors, Luseno</t>
  </si>
  <si>
    <t>2015, 2014</t>
  </si>
  <si>
    <t>Siaya County</t>
  </si>
  <si>
    <t>HIV-negative school children in a trial of school fees to prevent HIV (baseline)</t>
  </si>
  <si>
    <t>HSV-2 ELISA (Kalon Biological, Guildford, UK); samples not negative (i.e., &gt;=0.9) tested using Western blot</t>
  </si>
  <si>
    <t>Mean: 14.9, standard deviation: 1.5, range: 11-21</t>
  </si>
  <si>
    <t>Hazel</t>
  </si>
  <si>
    <t>Namibia</t>
  </si>
  <si>
    <t>Kaokveld</t>
  </si>
  <si>
    <t>Mobile, rural pastoralists</t>
  </si>
  <si>
    <t>Biokit HSV-2 Rapid Test, digital photograph compared to photographic guide</t>
  </si>
  <si>
    <t>Range: &lt;=25</t>
  </si>
  <si>
    <t>Range: &gt;=46</t>
  </si>
  <si>
    <t>Kalu, Kalu</t>
  </si>
  <si>
    <t>2018, 2014</t>
  </si>
  <si>
    <t>Nigeria</t>
  </si>
  <si>
    <t>Benin</t>
  </si>
  <si>
    <t>Mean: 30.6, standard deviation: 5.2, range: 18-44</t>
  </si>
  <si>
    <t>Range: 16-20</t>
  </si>
  <si>
    <t>Range: 21-25</t>
  </si>
  <si>
    <t>Range: 26-30</t>
  </si>
  <si>
    <t>Range: 36-40</t>
  </si>
  <si>
    <t>Range: 41-45</t>
  </si>
  <si>
    <t>Luseno</t>
  </si>
  <si>
    <t>Zimbabwe</t>
  </si>
  <si>
    <t>Manicaland Province</t>
  </si>
  <si>
    <t>HIV-negative women</t>
  </si>
  <si>
    <t>Nakku-Joloba</t>
  </si>
  <si>
    <t>Uganda</t>
  </si>
  <si>
    <t>Kampala</t>
  </si>
  <si>
    <t>HerpeSelect 1 and 2 ELISA (Focus, Cypress, CA)</t>
  </si>
  <si>
    <t>Median: 26, IQR: [22,33]</t>
  </si>
  <si>
    <t>Range: 26+</t>
  </si>
  <si>
    <t>Nakubulwa</t>
  </si>
  <si>
    <t>Mulago</t>
  </si>
  <si>
    <t>Pregnant patients in an antenatal clinic, ward and labour ward</t>
  </si>
  <si>
    <t>HerpeSelect 2 IgG ELISA (Focus, Cypress, CA)</t>
  </si>
  <si>
    <t>Mean: 25.5, standard deviation: 5</t>
  </si>
  <si>
    <t>Norris</t>
  </si>
  <si>
    <t>Northern</t>
  </si>
  <si>
    <t>Male agricultural plantation residents</t>
  </si>
  <si>
    <t>Range: 18-45+</t>
  </si>
  <si>
    <t>Range: 25-33</t>
  </si>
  <si>
    <t>Range: 34-45</t>
  </si>
  <si>
    <t>Range: 45+</t>
  </si>
  <si>
    <t>Okoye</t>
  </si>
  <si>
    <t>Ogun State</t>
  </si>
  <si>
    <t>2016-2017</t>
  </si>
  <si>
    <t>Non-sex workers</t>
  </si>
  <si>
    <t>IgG and IgM (Calbiotech, El Cajon, USA; Quingdao Hightop Biotech, China)</t>
  </si>
  <si>
    <t>Range: 20-49</t>
  </si>
  <si>
    <t>Pascoe</t>
  </si>
  <si>
    <t>South-east</t>
  </si>
  <si>
    <t>18-22 year olds</t>
  </si>
  <si>
    <t>IgG type-specific (Focus HerpeSelect EIA, Focus, Cypress, CA)</t>
  </si>
  <si>
    <t>Median: 19, range: 18-22</t>
  </si>
  <si>
    <t>Perti</t>
  </si>
  <si>
    <t>Soweto</t>
  </si>
  <si>
    <t>Women in early labour, HIV status known</t>
  </si>
  <si>
    <t>IgG ELISA (Kalon Biological) confirmed by Western Blot</t>
  </si>
  <si>
    <t>Median: 26, range: 18-44</t>
  </si>
  <si>
    <t>390</t>
  </si>
  <si>
    <t>383</t>
  </si>
  <si>
    <t>Pettifor, Pettifor, Rosenberg, Stoner</t>
  </si>
  <si>
    <t>2016, 2016, 2015, 2017</t>
  </si>
  <si>
    <t>Mpumalanga Province</t>
  </si>
  <si>
    <t>HIV-negative females, grades 8-11, not married/pregnant, in a cash transfer trial (baseline)</t>
  </si>
  <si>
    <t>IgG ELISA (Kalon Biological), confirmed retrospectively</t>
  </si>
  <si>
    <t>Median: 15, IQR: [14,17]</t>
  </si>
  <si>
    <t>Sudfeld</t>
  </si>
  <si>
    <t xml:space="preserve">Machinga and Balaka </t>
  </si>
  <si>
    <t>MSAS</t>
  </si>
  <si>
    <t>Adolescents in primary school</t>
  </si>
  <si>
    <t>HSV2 IgG ELISA (Kalon Biological, Guildford, UK)</t>
  </si>
  <si>
    <t>Range: 17-20</t>
  </si>
  <si>
    <t>Winston</t>
  </si>
  <si>
    <t>West</t>
  </si>
  <si>
    <t xml:space="preserve">12-21 and spent days or days and nights on the street </t>
  </si>
  <si>
    <t>IgG ELISA (Kalon Biological, Surrey, UK)</t>
  </si>
  <si>
    <t>Median: 16, IQR: [13-19]</t>
  </si>
  <si>
    <t>Median: 15, IQR: [13-18]</t>
  </si>
  <si>
    <t>Median: 18, IQR: [15-20]</t>
  </si>
  <si>
    <t>Torrone</t>
  </si>
  <si>
    <t>Female clinic attendees</t>
  </si>
  <si>
    <t>Range: 15-24</t>
  </si>
  <si>
    <t>HIV prevention study participants (cohort and RCT, baseline)</t>
  </si>
  <si>
    <t>Zambia</t>
  </si>
  <si>
    <t>Range: 25-49</t>
  </si>
  <si>
    <t>Mean: 21.6, standard deviation: 3.4</t>
  </si>
  <si>
    <t>87 months</t>
  </si>
  <si>
    <t>Akinyi</t>
  </si>
  <si>
    <t>Western Kenya</t>
  </si>
  <si>
    <t>Adolescents and adults</t>
  </si>
  <si>
    <t>Daniels</t>
  </si>
  <si>
    <t>HIV-negative women in a trial of a microbicide (intervention and placebo groups combined)</t>
  </si>
  <si>
    <t>Range: 18-38+</t>
  </si>
  <si>
    <t>~783</t>
  </si>
  <si>
    <t>Kalu</t>
  </si>
  <si>
    <t>9 months</t>
  </si>
  <si>
    <t>5 years</t>
  </si>
  <si>
    <t>Pregnant women in an antenatal clinic, ward and labour ward</t>
  </si>
  <si>
    <t>Mean: 25.6, standard deviation: 5.3</t>
  </si>
  <si>
    <t>10 weeks</t>
  </si>
  <si>
    <t>Pettifor</t>
  </si>
  <si>
    <t>HIV-negative females, grades 8-11, not married/pregnant, in a cash transfer trial (control group)</t>
  </si>
  <si>
    <t>Median: 15, IQR: [14-17]</t>
  </si>
  <si>
    <t>3 years</t>
  </si>
  <si>
    <t>Kenya and Uganda</t>
  </si>
  <si>
    <t>HIV-1 serodiscordant couples in a trial of PrEP (placebo group)</t>
  </si>
  <si>
    <t>36 months</t>
  </si>
  <si>
    <t>Western Pacific</t>
  </si>
  <si>
    <t>South-East Asia</t>
  </si>
  <si>
    <t>WHO region</t>
  </si>
  <si>
    <t>Eastern Mediterranean</t>
  </si>
  <si>
    <t>the United Kingdom of Great Britain and Northern Ireland</t>
  </si>
  <si>
    <t>the United Republic of Tanzania</t>
  </si>
  <si>
    <t>the United States of America</t>
  </si>
  <si>
    <t>the Netherlands</t>
  </si>
  <si>
    <t>Lansing, MI</t>
  </si>
  <si>
    <r>
      <t>Follow up of HIV prevention trial</t>
    </r>
    <r>
      <rPr>
        <sz val="11"/>
        <color indexed="14"/>
        <rFont val="Calibri"/>
        <family val="2"/>
      </rPr>
      <t>?</t>
    </r>
  </si>
  <si>
    <t>HIV-negative women in a trial of tenofovir (baseline)</t>
  </si>
  <si>
    <t>HIV-negative controls (baseline)</t>
  </si>
  <si>
    <t>HIV-negative women attending community health centre</t>
  </si>
  <si>
    <t>Range: 25-30</t>
  </si>
  <si>
    <t>Median: 29, range: 15-44</t>
  </si>
  <si>
    <t>Mean: 26.5, standard deviation: 0.5</t>
  </si>
  <si>
    <t>Range: &gt;=27</t>
  </si>
  <si>
    <t>Median: 37</t>
  </si>
  <si>
    <t>Range: 18-&gt;55</t>
  </si>
  <si>
    <t>Range: &lt;20 - &gt;=30</t>
  </si>
  <si>
    <t>Range: 0.5-44</t>
  </si>
  <si>
    <t>Ref number</t>
  </si>
  <si>
    <t>21 years</t>
  </si>
  <si>
    <t>4 years</t>
  </si>
  <si>
    <t>5.6 years</t>
  </si>
  <si>
    <t>1 year</t>
  </si>
  <si>
    <t>HIV-negative women in a trial of tenofovir (placebo group)</t>
  </si>
  <si>
    <t>1.5 years</t>
  </si>
  <si>
    <t>Sex</t>
  </si>
  <si>
    <t>These data are for general populations only</t>
  </si>
  <si>
    <t>These data are from the literature search for HSV-1 and HSV-2 prevalence and incidence data published since the last review for the 2012 HSV infection estimates. This latest literature search identified studies with publication date from 2013 to 2018</t>
  </si>
  <si>
    <t>For data from earlier literature reviews please refer to earlier HSV infection estimates papers (see main article text for details)</t>
  </si>
  <si>
    <t>Participants of cash transfer trial on HIV acquisition (baseline)</t>
  </si>
  <si>
    <t>IgG ELISA (Bioprobes Milano - Italy)</t>
  </si>
  <si>
    <t>Range: 36-65</t>
  </si>
  <si>
    <t>IgG ELISA (Dia.Pro, Diagnostics Bioprobes srl., Italy)</t>
  </si>
  <si>
    <t>IgG ELISA (Dia. Pro. Diagnostic Bioprobes srl, Milano, Italy)</t>
  </si>
  <si>
    <t>Type-specific IgG assay</t>
  </si>
  <si>
    <t>53,34,43</t>
  </si>
  <si>
    <t>44,48</t>
  </si>
  <si>
    <t>46,47</t>
  </si>
  <si>
    <t>56,57,58,121</t>
  </si>
  <si>
    <t>85,84,86</t>
  </si>
  <si>
    <t>87,88,89</t>
  </si>
  <si>
    <t>Incidence unit (HSV-2)</t>
  </si>
  <si>
    <t>Incidence unit (HSV-1)</t>
  </si>
  <si>
    <t>Age (years)</t>
  </si>
  <si>
    <t>N tested for HSV-1 Ab</t>
  </si>
  <si>
    <t>N HSV-1 Ab+</t>
  </si>
  <si>
    <t>% HSV-1 infection</t>
  </si>
  <si>
    <t>N tested for HSV-2 Ab</t>
  </si>
  <si>
    <t>N HSV-2 Ab+</t>
  </si>
  <si>
    <t>% HSV-2 infection</t>
  </si>
  <si>
    <t>N incident HSV-2 infection</t>
  </si>
  <si>
    <t>Denom N HSV-2 infection</t>
  </si>
  <si>
    <t>N incident HSV-1 infection</t>
  </si>
  <si>
    <t>Denom N HSV-1 infection</t>
  </si>
  <si>
    <t>Mean: 28, standard deviation: 5</t>
  </si>
  <si>
    <t>Range: &gt;64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</si>
</sst>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indexed="8"/>
      <name val="Calibri"/>
    </font>
    <font>
      <sz val="11"/>
      <color indexed="9"/>
      <name val="Calibri"/>
      <family val="2"/>
    </font>
    <font>
      <sz val="11"/>
      <color indexed="15"/>
      <name val="Calibri"/>
      <family val="2"/>
    </font>
    <font>
      <b/>
      <sz val="11"/>
      <color indexed="8"/>
      <name val="Calibri"/>
      <family val="2"/>
    </font>
    <font>
      <sz val="11"/>
      <color indexed="8"/>
      <name val="Helvetica Neue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14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11"/>
      </bottom>
      <diagonal/>
    </border>
    <border>
      <left style="thin">
        <color indexed="8"/>
      </left>
      <right/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11"/>
      </top>
      <bottom/>
      <diagonal/>
    </border>
    <border>
      <left/>
      <right style="thin">
        <color indexed="8"/>
      </right>
      <top/>
      <bottom style="thin">
        <color indexed="24"/>
      </bottom>
      <diagonal/>
    </border>
    <border>
      <left style="thin">
        <color indexed="8"/>
      </left>
      <right style="thin">
        <color indexed="8"/>
      </right>
      <top/>
      <bottom style="thin">
        <color indexed="24"/>
      </bottom>
      <diagonal/>
    </border>
    <border>
      <left style="thin">
        <color indexed="8"/>
      </left>
      <right/>
      <top/>
      <bottom style="thin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24"/>
      </top>
      <bottom/>
      <diagonal/>
    </border>
    <border>
      <left style="thin">
        <color indexed="8"/>
      </left>
      <right/>
      <top style="thin">
        <color indexed="2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2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2"/>
      </top>
      <bottom style="thin">
        <color indexed="12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85">
    <xf numFmtId="0" fontId="0" fillId="0" borderId="0" xfId="0" applyFont="1" applyAlignment="1"/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0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left" vertical="center"/>
    </xf>
    <xf numFmtId="1" fontId="0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/>
    <xf numFmtId="0" fontId="7" fillId="0" borderId="0" xfId="0" applyFont="1" applyFill="1" applyAlignment="1"/>
    <xf numFmtId="0" fontId="7" fillId="0" borderId="13" xfId="0" applyNumberFormat="1" applyFont="1" applyFill="1" applyBorder="1" applyAlignment="1"/>
    <xf numFmtId="0" fontId="7" fillId="0" borderId="13" xfId="0" applyFont="1" applyFill="1" applyBorder="1" applyAlignment="1"/>
    <xf numFmtId="1" fontId="0" fillId="0" borderId="9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49" fontId="0" fillId="0" borderId="17" xfId="0" applyNumberFormat="1" applyFont="1" applyFill="1" applyBorder="1" applyAlignment="1">
      <alignment vertical="center"/>
    </xf>
    <xf numFmtId="0" fontId="0" fillId="0" borderId="10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vertical="center"/>
    </xf>
    <xf numFmtId="0" fontId="0" fillId="0" borderId="19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left" vertical="center"/>
    </xf>
    <xf numFmtId="49" fontId="1" fillId="0" borderId="20" xfId="0" applyNumberFormat="1" applyFont="1" applyFill="1" applyBorder="1" applyAlignment="1">
      <alignment vertical="center"/>
    </xf>
    <xf numFmtId="49" fontId="0" fillId="0" borderId="21" xfId="0" applyNumberFormat="1" applyFont="1" applyFill="1" applyBorder="1" applyAlignment="1">
      <alignment vertical="center"/>
    </xf>
    <xf numFmtId="49" fontId="0" fillId="0" borderId="22" xfId="0" applyNumberFormat="1" applyFont="1" applyFill="1" applyBorder="1" applyAlignment="1">
      <alignment vertical="center"/>
    </xf>
    <xf numFmtId="49" fontId="6" fillId="0" borderId="22" xfId="0" applyNumberFormat="1" applyFont="1" applyFill="1" applyBorder="1" applyAlignment="1">
      <alignment vertical="center"/>
    </xf>
    <xf numFmtId="49" fontId="0" fillId="0" borderId="20" xfId="0" applyNumberFormat="1" applyFont="1" applyFill="1" applyBorder="1" applyAlignment="1">
      <alignment vertical="center"/>
    </xf>
    <xf numFmtId="49" fontId="0" fillId="0" borderId="22" xfId="0" applyNumberFormat="1" applyFont="1" applyFill="1" applyBorder="1" applyAlignment="1">
      <alignment horizontal="left" vertical="center"/>
    </xf>
    <xf numFmtId="49" fontId="7" fillId="0" borderId="22" xfId="0" applyNumberFormat="1" applyFont="1" applyFill="1" applyBorder="1" applyAlignment="1">
      <alignment vertical="center"/>
    </xf>
    <xf numFmtId="49" fontId="0" fillId="0" borderId="23" xfId="0" applyNumberFormat="1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0" xfId="0" applyFont="1" applyAlignment="1"/>
    <xf numFmtId="49" fontId="9" fillId="0" borderId="1" xfId="0" applyNumberFormat="1" applyFont="1" applyFill="1" applyBorder="1" applyAlignment="1">
      <alignment horizontal="left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8"/>
        </left>
        <right/>
        <top/>
        <bottom/>
        <vertical style="thin">
          <color indexed="8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 style="thin">
          <color indexed="8"/>
        </vertical>
        <horizontal/>
      </border>
    </dxf>
    <dxf>
      <border outline="0">
        <top style="thin">
          <color indexed="2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2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8"/>
        </left>
        <right/>
        <vertical style="thin">
          <color indexed="8"/>
        </vertical>
      </border>
    </dxf>
    <dxf>
      <numFmt numFmtId="164" formatCode="0.0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numFmt numFmtId="164" formatCode="0.0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8"/>
        </left>
        <right style="thin">
          <color indexed="8"/>
        </right>
        <vertical style="thin">
          <color indexed="8"/>
        </vertic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8"/>
        </right>
        <vertical style="thin">
          <color indexed="8"/>
        </vertic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</dxf>
    <dxf>
      <border outline="0">
        <bottom style="thin">
          <color indexed="1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 style="thin">
          <color indexed="8"/>
        </vertical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4F81BD"/>
      <rgbColor rgb="FF95B3D7"/>
      <rgbColor rgb="FFAAAAAA"/>
      <rgbColor rgb="FFDBE5F1"/>
      <rgbColor rgb="FFD8E3F0"/>
      <rgbColor rgb="FFFF2600"/>
      <rgbColor rgb="FF3F3F3F"/>
      <rgbColor rgb="FF932092"/>
      <rgbColor rgb="FF0432FF"/>
      <rgbColor rgb="FFFFFF00"/>
      <rgbColor rgb="FFBDC0BF"/>
      <rgbColor rgb="FFA5A5A5"/>
      <rgbColor rgb="FFDBDBDB"/>
      <rgbColor rgb="FF8064A2"/>
      <rgbColor rgb="FFB2A1C7"/>
      <rgbColor rgb="FFE5DFEC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41AB23-AB1D-4CA7-80E9-A885EB6E776F}" name="Table1" displayName="Table1" ref="A1:R592" totalsRowShown="0" headerRowDxfId="47" dataDxfId="45" headerRowBorderDxfId="46" tableBorderDxfId="44">
  <autoFilter ref="A1:R592" xr:uid="{E4660962-32CF-4653-95C1-11B1499FABE8}"/>
  <tableColumns count="18">
    <tableColumn id="2" xr3:uid="{CE919660-A85E-4FD8-ACBA-969013394FF3}" name="First author" dataDxfId="43"/>
    <tableColumn id="3" xr3:uid="{82C024E1-74D6-4A4B-B96C-32CF76D32027}" name="Year published" dataDxfId="42"/>
    <tableColumn id="4" xr3:uid="{4CDDC8DC-44AA-4166-A12A-A85FDA11D53E}" name="WHO region" dataDxfId="41"/>
    <tableColumn id="5" xr3:uid="{9E9104EF-3B8E-4D85-9E19-E13B90C86492}" name="Country or Area" dataDxfId="40"/>
    <tableColumn id="6" xr3:uid="{960F6452-5D13-4698-A5E5-6E62702FD1C1}" name="City/town/area" dataDxfId="39"/>
    <tableColumn id="7" xr3:uid="{F47FDBA0-F3BB-4181-90B4-C11A859076C4}" name="Study name" dataDxfId="38"/>
    <tableColumn id="8" xr3:uid="{CFAE7258-CD62-4BC6-9E6B-62181466F3DC}" name="Study year" dataDxfId="37"/>
    <tableColumn id="13" xr3:uid="{E4D1583E-BD4F-4E3C-8465-A2188F764828}" name="Group tested" dataDxfId="36"/>
    <tableColumn id="15" xr3:uid="{C8F1BE3F-A76B-4E55-BED9-FFB2A448F3F0}" name="Assay" dataDxfId="35"/>
    <tableColumn id="21" xr3:uid="{69EB9D9E-6FBA-46AB-BBA2-A63D5050A74B}" name="Sex" dataDxfId="34"/>
    <tableColumn id="22" xr3:uid="{BE3BF706-AB46-47B5-BA4B-F383DDB59C6F}" name="Age (years)" dataDxfId="33"/>
    <tableColumn id="23" xr3:uid="{2E0627EB-B09B-4049-953B-A8DFEA5D898A}" name="N tested for HSV-1 Ab" dataDxfId="32"/>
    <tableColumn id="24" xr3:uid="{3C4B7BCE-8A0D-41C5-9564-0DB2E064DF49}" name="N HSV-1 Ab+" dataDxfId="31"/>
    <tableColumn id="25" xr3:uid="{C537F09A-8D11-4195-98F0-08151E2C82FC}" name="% HSV-1 infection" dataDxfId="30"/>
    <tableColumn id="26" xr3:uid="{477D1CD3-14B4-4195-A146-DDFA018E061B}" name="N tested for HSV-2 Ab" dataDxfId="29"/>
    <tableColumn id="27" xr3:uid="{3DD5F981-3D2B-4627-86CA-112B166DDD65}" name="N HSV-2 Ab+" dataDxfId="28"/>
    <tableColumn id="28" xr3:uid="{0F660D4F-A487-47FE-924D-D45BDBCED1FB}" name="% HSV-2 infection" dataDxfId="27"/>
    <tableColumn id="29" xr3:uid="{6BF30D9F-73C1-4317-8C37-01719920A58C}" name="Ref number" dataDxfId="2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510A24-8C6C-4E8D-BB4B-6BDF36C64D80}" name="Table2" displayName="Table2" ref="A1:U64" totalsRowShown="0" headerRowDxfId="25" dataDxfId="23" headerRowBorderDxfId="24" tableBorderDxfId="22" totalsRowBorderDxfId="21">
  <autoFilter ref="A1:U64" xr:uid="{118B84D5-936C-48CB-AB52-4E3D8845CD51}"/>
  <tableColumns count="21">
    <tableColumn id="2" xr3:uid="{19758553-D119-469F-8536-8BF1BB61BB45}" name="First author" dataDxfId="20"/>
    <tableColumn id="3" xr3:uid="{E47B03E5-5354-4DB5-AFC7-B0DF82AEE09F}" name="Year published" dataDxfId="19"/>
    <tableColumn id="4" xr3:uid="{7221142A-0297-4BEA-BB37-146520BC501A}" name="WHO region" dataDxfId="18"/>
    <tableColumn id="5" xr3:uid="{3B718EA8-B917-4282-928F-5F2AFE44A770}" name="Country or Area" dataDxfId="17"/>
    <tableColumn id="6" xr3:uid="{BC37BFB1-DEAC-43A1-8D8D-98A011883C95}" name="City/town/area" dataDxfId="16"/>
    <tableColumn id="7" xr3:uid="{0E9C4775-4D5C-4D6C-8DC3-E0AACE688AD8}" name="Study name" dataDxfId="15"/>
    <tableColumn id="8" xr3:uid="{9B40EFBD-0E1E-47B3-89DF-87805F4DD327}" name="Study year" dataDxfId="14"/>
    <tableColumn id="11" xr3:uid="{DEAA16D5-304E-4601-8F0F-63B9AF59A71B}" name="Group tested" dataDxfId="13"/>
    <tableColumn id="13" xr3:uid="{13243AA3-B27F-48B5-AD31-29A197018BC2}" name="Assay" dataDxfId="12"/>
    <tableColumn id="19" xr3:uid="{B9BBBB8C-3DBE-4A8E-8262-0A9A2BBE1ECC}" name="Sex" dataDxfId="11"/>
    <tableColumn id="20" xr3:uid="{F5080AEA-CAE3-4F1C-825E-AA00E7BB10CA}" name="Age (years)" dataDxfId="10"/>
    <tableColumn id="21" xr3:uid="{29A1B12E-CC64-46A7-8372-B2E1BD3C423A}" name="Denom N HSV-1 infection" dataDxfId="9"/>
    <tableColumn id="22" xr3:uid="{63511FCC-CF3C-4162-A6EF-FDE43062729B}" name="N incident HSV-1 infection" dataDxfId="8"/>
    <tableColumn id="23" xr3:uid="{C5D11C8F-2F1D-47DC-BAEE-41C979E74C63}" name="HSV-1 incidence" dataDxfId="7"/>
    <tableColumn id="24" xr3:uid="{2A6EE8B5-0F96-4352-9F2D-F68D5C972F42}" name="Incidence unit (HSV-1)" dataDxfId="6"/>
    <tableColumn id="25" xr3:uid="{7C0B75E8-77FE-4C59-8C7A-5259FB26A9C5}" name="Denom N HSV-2 infection" dataDxfId="5"/>
    <tableColumn id="26" xr3:uid="{19763AFF-8A3E-4185-B540-0F9362C34CAD}" name="N incident HSV-2 infection" dataDxfId="4"/>
    <tableColumn id="27" xr3:uid="{F03544B6-8B61-4320-88CB-D404A86DDA49}" name="HSV-2 incidence" dataDxfId="3"/>
    <tableColumn id="28" xr3:uid="{6CF4CC25-DF3E-4F70-9848-633F176AD0B4}" name="Incidence unit (HSV-2)" dataDxfId="2"/>
    <tableColumn id="29" xr3:uid="{3912BA48-1064-41CB-9CB7-D77BBFF44A52}" name="Length of follow-up" dataDxfId="1"/>
    <tableColumn id="30" xr3:uid="{54841533-1EFC-4FFE-80AA-4A4E5BDCDB27}" name="Ref number" dataDxfId="0"/>
  </tableColumns>
  <tableStyleInfo name="TableStyleMedium5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H592"/>
  <sheetViews>
    <sheetView showGridLines="0" tabSelected="1" zoomScale="55" zoomScaleNormal="55" workbookViewId="0">
      <selection activeCell="A2" sqref="A2"/>
    </sheetView>
  </sheetViews>
  <sheetFormatPr defaultColWidth="8.81640625" defaultRowHeight="15" customHeight="1"/>
  <cols>
    <col min="1" max="1" width="22.453125" style="33" customWidth="1"/>
    <col min="2" max="2" width="17.26953125" style="39" customWidth="1"/>
    <col min="3" max="3" width="26.81640625" style="39" customWidth="1"/>
    <col min="4" max="4" width="22.26953125" style="39" customWidth="1"/>
    <col min="5" max="5" width="21" style="39" customWidth="1"/>
    <col min="6" max="6" width="15" style="39" customWidth="1"/>
    <col min="7" max="7" width="13.26953125" style="39" customWidth="1"/>
    <col min="8" max="9" width="59.1796875" style="39" customWidth="1"/>
    <col min="10" max="10" width="18.453125" style="39" customWidth="1"/>
    <col min="11" max="11" width="10.453125" style="39" customWidth="1"/>
    <col min="12" max="12" width="12" style="33" customWidth="1"/>
    <col min="13" max="18" width="12" style="39" customWidth="1"/>
    <col min="19" max="19" width="34.1796875" style="33" customWidth="1"/>
    <col min="20" max="234" width="8.81640625" style="33" customWidth="1"/>
    <col min="235" max="16384" width="8.81640625" style="34"/>
  </cols>
  <sheetData>
    <row r="1" spans="1:242" ht="15" customHeight="1">
      <c r="A1" s="64" t="s">
        <v>0</v>
      </c>
      <c r="B1" s="40" t="s">
        <v>1</v>
      </c>
      <c r="C1" s="40" t="s">
        <v>606</v>
      </c>
      <c r="D1" s="40" t="s">
        <v>2</v>
      </c>
      <c r="E1" s="40" t="s">
        <v>3</v>
      </c>
      <c r="F1" s="40" t="s">
        <v>4</v>
      </c>
      <c r="G1" s="40" t="s">
        <v>5</v>
      </c>
      <c r="H1" s="40" t="s">
        <v>6</v>
      </c>
      <c r="I1" s="40" t="s">
        <v>7</v>
      </c>
      <c r="J1" s="40" t="s">
        <v>632</v>
      </c>
      <c r="K1" s="40" t="s">
        <v>650</v>
      </c>
      <c r="L1" s="40" t="s">
        <v>651</v>
      </c>
      <c r="M1" s="40" t="s">
        <v>652</v>
      </c>
      <c r="N1" s="40" t="s">
        <v>653</v>
      </c>
      <c r="O1" s="40" t="s">
        <v>654</v>
      </c>
      <c r="P1" s="40" t="s">
        <v>655</v>
      </c>
      <c r="Q1" s="40" t="s">
        <v>656</v>
      </c>
      <c r="R1" s="76" t="s">
        <v>625</v>
      </c>
      <c r="HZ1" s="34"/>
    </row>
    <row r="2" spans="1:242" ht="15" customHeight="1">
      <c r="A2" s="65" t="s">
        <v>433</v>
      </c>
      <c r="B2" s="41">
        <v>2015</v>
      </c>
      <c r="C2" s="38" t="s">
        <v>206</v>
      </c>
      <c r="D2" s="38" t="s">
        <v>411</v>
      </c>
      <c r="E2" s="38" t="s">
        <v>434</v>
      </c>
      <c r="F2" s="38" t="s">
        <v>332</v>
      </c>
      <c r="G2" s="38" t="s">
        <v>118</v>
      </c>
      <c r="H2" s="42" t="s">
        <v>435</v>
      </c>
      <c r="I2" s="38" t="s">
        <v>436</v>
      </c>
      <c r="J2" s="38" t="s">
        <v>11</v>
      </c>
      <c r="K2" s="38" t="s">
        <v>437</v>
      </c>
      <c r="L2" s="38" t="s">
        <v>10</v>
      </c>
      <c r="M2" s="38" t="s">
        <v>10</v>
      </c>
      <c r="N2" s="44" t="s">
        <v>10</v>
      </c>
      <c r="O2" s="43">
        <v>3472</v>
      </c>
      <c r="P2" s="43">
        <v>2218</v>
      </c>
      <c r="Q2" s="44">
        <v>73</v>
      </c>
      <c r="R2" s="41">
        <v>31</v>
      </c>
      <c r="IA2" s="33"/>
      <c r="IB2" s="33"/>
      <c r="IC2" s="33"/>
      <c r="ID2" s="33"/>
      <c r="IE2" s="33"/>
      <c r="IF2" s="33"/>
      <c r="IG2" s="33"/>
      <c r="IH2" s="33"/>
    </row>
    <row r="3" spans="1:242" ht="15" customHeight="1">
      <c r="A3" s="65" t="s">
        <v>438</v>
      </c>
      <c r="B3" s="41">
        <v>2014</v>
      </c>
      <c r="C3" s="38" t="s">
        <v>206</v>
      </c>
      <c r="D3" s="38" t="s">
        <v>411</v>
      </c>
      <c r="E3" s="38" t="s">
        <v>434</v>
      </c>
      <c r="F3" s="38" t="s">
        <v>9</v>
      </c>
      <c r="G3" s="41">
        <v>2010</v>
      </c>
      <c r="H3" s="38" t="s">
        <v>439</v>
      </c>
      <c r="I3" s="38" t="s">
        <v>440</v>
      </c>
      <c r="J3" s="38" t="s">
        <v>16</v>
      </c>
      <c r="K3" s="38" t="s">
        <v>441</v>
      </c>
      <c r="L3" s="38" t="s">
        <v>10</v>
      </c>
      <c r="M3" s="38" t="s">
        <v>10</v>
      </c>
      <c r="N3" s="44" t="s">
        <v>10</v>
      </c>
      <c r="O3" s="43">
        <f>(1252+1423)</f>
        <v>2675</v>
      </c>
      <c r="P3" s="43">
        <f>(38+148)</f>
        <v>186</v>
      </c>
      <c r="Q3" s="44">
        <f>P3/O3*100</f>
        <v>6.9532710280373831</v>
      </c>
      <c r="R3" s="41">
        <v>32</v>
      </c>
      <c r="IA3" s="33"/>
      <c r="IB3" s="33"/>
      <c r="IC3" s="33"/>
      <c r="ID3" s="33"/>
      <c r="IE3" s="33"/>
      <c r="IF3" s="33"/>
      <c r="IG3" s="33"/>
      <c r="IH3" s="33"/>
    </row>
    <row r="4" spans="1:242" ht="15" customHeight="1">
      <c r="A4" s="65" t="s">
        <v>438</v>
      </c>
      <c r="B4" s="41">
        <v>2014</v>
      </c>
      <c r="C4" s="38" t="s">
        <v>206</v>
      </c>
      <c r="D4" s="38" t="s">
        <v>411</v>
      </c>
      <c r="E4" s="38" t="s">
        <v>434</v>
      </c>
      <c r="F4" s="38" t="s">
        <v>9</v>
      </c>
      <c r="G4" s="41">
        <v>2010</v>
      </c>
      <c r="H4" s="38" t="s">
        <v>439</v>
      </c>
      <c r="I4" s="38" t="s">
        <v>440</v>
      </c>
      <c r="J4" s="38" t="s">
        <v>16</v>
      </c>
      <c r="K4" s="38" t="s">
        <v>442</v>
      </c>
      <c r="L4" s="38" t="s">
        <v>10</v>
      </c>
      <c r="M4" s="38" t="s">
        <v>10</v>
      </c>
      <c r="N4" s="44" t="s">
        <v>10</v>
      </c>
      <c r="O4" s="43">
        <f t="shared" ref="O4:P7" si="0">O9+O14</f>
        <v>887</v>
      </c>
      <c r="P4" s="43">
        <f t="shared" si="0"/>
        <v>26</v>
      </c>
      <c r="Q4" s="44">
        <f>P4/O4*100</f>
        <v>2.931228861330327</v>
      </c>
      <c r="R4" s="41">
        <v>32</v>
      </c>
      <c r="IA4" s="33"/>
      <c r="IB4" s="33"/>
      <c r="IC4" s="33"/>
      <c r="ID4" s="33"/>
      <c r="IE4" s="33"/>
      <c r="IF4" s="33"/>
      <c r="IG4" s="33"/>
      <c r="IH4" s="33"/>
    </row>
    <row r="5" spans="1:242" ht="15" customHeight="1">
      <c r="A5" s="65" t="s">
        <v>438</v>
      </c>
      <c r="B5" s="41">
        <v>2014</v>
      </c>
      <c r="C5" s="38" t="s">
        <v>206</v>
      </c>
      <c r="D5" s="38" t="s">
        <v>411</v>
      </c>
      <c r="E5" s="38" t="s">
        <v>434</v>
      </c>
      <c r="F5" s="38" t="s">
        <v>9</v>
      </c>
      <c r="G5" s="41">
        <v>2010</v>
      </c>
      <c r="H5" s="38" t="s">
        <v>439</v>
      </c>
      <c r="I5" s="38" t="s">
        <v>440</v>
      </c>
      <c r="J5" s="38" t="s">
        <v>16</v>
      </c>
      <c r="K5" s="38" t="s">
        <v>443</v>
      </c>
      <c r="L5" s="38" t="s">
        <v>10</v>
      </c>
      <c r="M5" s="38" t="s">
        <v>10</v>
      </c>
      <c r="N5" s="44" t="s">
        <v>10</v>
      </c>
      <c r="O5" s="43">
        <f t="shared" si="0"/>
        <v>1042</v>
      </c>
      <c r="P5" s="43">
        <f t="shared" si="0"/>
        <v>56</v>
      </c>
      <c r="Q5" s="44">
        <f>P5/O5*100</f>
        <v>5.3742802303262955</v>
      </c>
      <c r="R5" s="41">
        <v>32</v>
      </c>
      <c r="IA5" s="33"/>
      <c r="IB5" s="33"/>
      <c r="IC5" s="33"/>
      <c r="ID5" s="33"/>
      <c r="IE5" s="33"/>
      <c r="IF5" s="33"/>
      <c r="IG5" s="33"/>
      <c r="IH5" s="33"/>
    </row>
    <row r="6" spans="1:242" ht="15" customHeight="1">
      <c r="A6" s="65" t="s">
        <v>438</v>
      </c>
      <c r="B6" s="41">
        <v>2014</v>
      </c>
      <c r="C6" s="38" t="s">
        <v>206</v>
      </c>
      <c r="D6" s="38" t="s">
        <v>411</v>
      </c>
      <c r="E6" s="38" t="s">
        <v>434</v>
      </c>
      <c r="F6" s="38" t="s">
        <v>9</v>
      </c>
      <c r="G6" s="41">
        <v>2010</v>
      </c>
      <c r="H6" s="38" t="s">
        <v>439</v>
      </c>
      <c r="I6" s="38" t="s">
        <v>440</v>
      </c>
      <c r="J6" s="38" t="s">
        <v>16</v>
      </c>
      <c r="K6" s="38" t="s">
        <v>444</v>
      </c>
      <c r="L6" s="38" t="s">
        <v>10</v>
      </c>
      <c r="M6" s="38" t="s">
        <v>10</v>
      </c>
      <c r="N6" s="44" t="s">
        <v>10</v>
      </c>
      <c r="O6" s="43">
        <f t="shared" si="0"/>
        <v>556</v>
      </c>
      <c r="P6" s="43">
        <f t="shared" si="0"/>
        <v>69</v>
      </c>
      <c r="Q6" s="44">
        <f>P6/O6*100</f>
        <v>12.410071942446043</v>
      </c>
      <c r="R6" s="41">
        <v>32</v>
      </c>
      <c r="IA6" s="33"/>
      <c r="IB6" s="33"/>
      <c r="IC6" s="33"/>
      <c r="ID6" s="33"/>
      <c r="IE6" s="33"/>
      <c r="IF6" s="33"/>
      <c r="IG6" s="33"/>
      <c r="IH6" s="33"/>
    </row>
    <row r="7" spans="1:242" ht="15" customHeight="1">
      <c r="A7" s="65" t="s">
        <v>438</v>
      </c>
      <c r="B7" s="41">
        <v>2014</v>
      </c>
      <c r="C7" s="38" t="s">
        <v>206</v>
      </c>
      <c r="D7" s="38" t="s">
        <v>411</v>
      </c>
      <c r="E7" s="38" t="s">
        <v>434</v>
      </c>
      <c r="F7" s="38" t="s">
        <v>9</v>
      </c>
      <c r="G7" s="41">
        <v>2010</v>
      </c>
      <c r="H7" s="38" t="s">
        <v>439</v>
      </c>
      <c r="I7" s="38" t="s">
        <v>440</v>
      </c>
      <c r="J7" s="38" t="s">
        <v>16</v>
      </c>
      <c r="K7" s="38" t="s">
        <v>65</v>
      </c>
      <c r="L7" s="38" t="s">
        <v>10</v>
      </c>
      <c r="M7" s="38" t="s">
        <v>10</v>
      </c>
      <c r="N7" s="44" t="s">
        <v>10</v>
      </c>
      <c r="O7" s="43">
        <f t="shared" si="0"/>
        <v>189</v>
      </c>
      <c r="P7" s="43">
        <f t="shared" si="0"/>
        <v>35</v>
      </c>
      <c r="Q7" s="44">
        <f>P7/O7*100</f>
        <v>18.518518518518519</v>
      </c>
      <c r="R7" s="41">
        <v>32</v>
      </c>
      <c r="IA7" s="33"/>
      <c r="IB7" s="33"/>
      <c r="IC7" s="33"/>
      <c r="ID7" s="33"/>
      <c r="IE7" s="33"/>
      <c r="IF7" s="33"/>
      <c r="IG7" s="33"/>
      <c r="IH7" s="33"/>
    </row>
    <row r="8" spans="1:242" ht="15" customHeight="1">
      <c r="A8" s="65" t="s">
        <v>438</v>
      </c>
      <c r="B8" s="41">
        <v>2014</v>
      </c>
      <c r="C8" s="38" t="s">
        <v>206</v>
      </c>
      <c r="D8" s="38" t="s">
        <v>411</v>
      </c>
      <c r="E8" s="38" t="s">
        <v>434</v>
      </c>
      <c r="F8" s="38" t="s">
        <v>9</v>
      </c>
      <c r="G8" s="41">
        <v>2010</v>
      </c>
      <c r="H8" s="38" t="s">
        <v>439</v>
      </c>
      <c r="I8" s="38" t="s">
        <v>440</v>
      </c>
      <c r="J8" s="38" t="s">
        <v>23</v>
      </c>
      <c r="K8" s="38" t="s">
        <v>441</v>
      </c>
      <c r="L8" s="38" t="s">
        <v>10</v>
      </c>
      <c r="M8" s="38" t="s">
        <v>10</v>
      </c>
      <c r="N8" s="44" t="s">
        <v>10</v>
      </c>
      <c r="O8" s="43">
        <v>1252</v>
      </c>
      <c r="P8" s="43">
        <v>38</v>
      </c>
      <c r="Q8" s="44">
        <v>2.6</v>
      </c>
      <c r="R8" s="41">
        <v>32</v>
      </c>
      <c r="IA8" s="33"/>
      <c r="IB8" s="33"/>
      <c r="IC8" s="33"/>
      <c r="ID8" s="33"/>
      <c r="IE8" s="33"/>
      <c r="IF8" s="33"/>
      <c r="IG8" s="33"/>
      <c r="IH8" s="33"/>
    </row>
    <row r="9" spans="1:242" ht="15" customHeight="1">
      <c r="A9" s="65" t="s">
        <v>438</v>
      </c>
      <c r="B9" s="41">
        <v>2014</v>
      </c>
      <c r="C9" s="38" t="s">
        <v>206</v>
      </c>
      <c r="D9" s="38" t="s">
        <v>411</v>
      </c>
      <c r="E9" s="38" t="s">
        <v>434</v>
      </c>
      <c r="F9" s="38" t="s">
        <v>9</v>
      </c>
      <c r="G9" s="41">
        <v>2010</v>
      </c>
      <c r="H9" s="38" t="s">
        <v>439</v>
      </c>
      <c r="I9" s="38" t="s">
        <v>440</v>
      </c>
      <c r="J9" s="38" t="s">
        <v>23</v>
      </c>
      <c r="K9" s="38" t="s">
        <v>442</v>
      </c>
      <c r="L9" s="38" t="s">
        <v>10</v>
      </c>
      <c r="M9" s="38" t="s">
        <v>10</v>
      </c>
      <c r="N9" s="44" t="s">
        <v>10</v>
      </c>
      <c r="O9" s="43">
        <v>297</v>
      </c>
      <c r="P9" s="43">
        <v>2</v>
      </c>
      <c r="Q9" s="44">
        <f>P9/O9*100</f>
        <v>0.67340067340067333</v>
      </c>
      <c r="R9" s="41">
        <v>32</v>
      </c>
      <c r="IA9" s="33"/>
      <c r="IB9" s="33"/>
      <c r="IC9" s="33"/>
      <c r="ID9" s="33"/>
      <c r="IE9" s="33"/>
      <c r="IF9" s="33"/>
      <c r="IG9" s="33"/>
      <c r="IH9" s="33"/>
    </row>
    <row r="10" spans="1:242" ht="15" customHeight="1">
      <c r="A10" s="65" t="s">
        <v>438</v>
      </c>
      <c r="B10" s="41">
        <v>2014</v>
      </c>
      <c r="C10" s="38" t="s">
        <v>206</v>
      </c>
      <c r="D10" s="38" t="s">
        <v>411</v>
      </c>
      <c r="E10" s="38" t="s">
        <v>434</v>
      </c>
      <c r="F10" s="38" t="s">
        <v>9</v>
      </c>
      <c r="G10" s="41">
        <v>2010</v>
      </c>
      <c r="H10" s="38" t="s">
        <v>439</v>
      </c>
      <c r="I10" s="38" t="s">
        <v>440</v>
      </c>
      <c r="J10" s="38" t="s">
        <v>23</v>
      </c>
      <c r="K10" s="38" t="s">
        <v>443</v>
      </c>
      <c r="L10" s="38" t="s">
        <v>10</v>
      </c>
      <c r="M10" s="38" t="s">
        <v>10</v>
      </c>
      <c r="N10" s="44" t="s">
        <v>10</v>
      </c>
      <c r="O10" s="43">
        <v>505</v>
      </c>
      <c r="P10" s="43">
        <v>10</v>
      </c>
      <c r="Q10" s="44">
        <f>P10/O10*100</f>
        <v>1.9801980198019802</v>
      </c>
      <c r="R10" s="41">
        <v>32</v>
      </c>
      <c r="IA10" s="33"/>
      <c r="IB10" s="33"/>
      <c r="IC10" s="33"/>
      <c r="ID10" s="33"/>
      <c r="IE10" s="33"/>
      <c r="IF10" s="33"/>
      <c r="IG10" s="33"/>
      <c r="IH10" s="33"/>
    </row>
    <row r="11" spans="1:242" ht="15" customHeight="1">
      <c r="A11" s="65" t="s">
        <v>438</v>
      </c>
      <c r="B11" s="41">
        <v>2014</v>
      </c>
      <c r="C11" s="38" t="s">
        <v>206</v>
      </c>
      <c r="D11" s="38" t="s">
        <v>411</v>
      </c>
      <c r="E11" s="38" t="s">
        <v>434</v>
      </c>
      <c r="F11" s="38" t="s">
        <v>9</v>
      </c>
      <c r="G11" s="41">
        <v>2010</v>
      </c>
      <c r="H11" s="38" t="s">
        <v>439</v>
      </c>
      <c r="I11" s="38" t="s">
        <v>440</v>
      </c>
      <c r="J11" s="38" t="s">
        <v>23</v>
      </c>
      <c r="K11" s="38" t="s">
        <v>444</v>
      </c>
      <c r="L11" s="38" t="s">
        <v>10</v>
      </c>
      <c r="M11" s="38" t="s">
        <v>10</v>
      </c>
      <c r="N11" s="44" t="s">
        <v>10</v>
      </c>
      <c r="O11" s="43">
        <v>344</v>
      </c>
      <c r="P11" s="43">
        <v>21</v>
      </c>
      <c r="Q11" s="44">
        <v>6.6</v>
      </c>
      <c r="R11" s="41">
        <v>32</v>
      </c>
      <c r="IA11" s="33"/>
      <c r="IB11" s="33"/>
      <c r="IC11" s="33"/>
      <c r="ID11" s="33"/>
      <c r="IE11" s="33"/>
      <c r="IF11" s="33"/>
      <c r="IG11" s="33"/>
      <c r="IH11" s="33"/>
    </row>
    <row r="12" spans="1:242" ht="15" customHeight="1">
      <c r="A12" s="65" t="s">
        <v>438</v>
      </c>
      <c r="B12" s="41">
        <v>2014</v>
      </c>
      <c r="C12" s="38" t="s">
        <v>206</v>
      </c>
      <c r="D12" s="38" t="s">
        <v>411</v>
      </c>
      <c r="E12" s="38" t="s">
        <v>434</v>
      </c>
      <c r="F12" s="38" t="s">
        <v>9</v>
      </c>
      <c r="G12" s="41">
        <v>2010</v>
      </c>
      <c r="H12" s="38" t="s">
        <v>439</v>
      </c>
      <c r="I12" s="38" t="s">
        <v>440</v>
      </c>
      <c r="J12" s="38" t="s">
        <v>23</v>
      </c>
      <c r="K12" s="38" t="s">
        <v>65</v>
      </c>
      <c r="L12" s="38" t="s">
        <v>10</v>
      </c>
      <c r="M12" s="38" t="s">
        <v>10</v>
      </c>
      <c r="N12" s="44" t="s">
        <v>10</v>
      </c>
      <c r="O12" s="43">
        <v>106</v>
      </c>
      <c r="P12" s="43">
        <v>5</v>
      </c>
      <c r="Q12" s="44">
        <v>3.5</v>
      </c>
      <c r="R12" s="41">
        <v>32</v>
      </c>
      <c r="IA12" s="33"/>
      <c r="IB12" s="33"/>
      <c r="IC12" s="33"/>
      <c r="ID12" s="33"/>
      <c r="IE12" s="33"/>
      <c r="IF12" s="33"/>
      <c r="IG12" s="33"/>
      <c r="IH12" s="33"/>
    </row>
    <row r="13" spans="1:242" ht="15" customHeight="1">
      <c r="A13" s="65" t="s">
        <v>438</v>
      </c>
      <c r="B13" s="41">
        <v>2014</v>
      </c>
      <c r="C13" s="38" t="s">
        <v>206</v>
      </c>
      <c r="D13" s="38" t="s">
        <v>411</v>
      </c>
      <c r="E13" s="38" t="s">
        <v>434</v>
      </c>
      <c r="F13" s="38" t="s">
        <v>9</v>
      </c>
      <c r="G13" s="41">
        <v>2010</v>
      </c>
      <c r="H13" s="38" t="s">
        <v>439</v>
      </c>
      <c r="I13" s="38" t="s">
        <v>440</v>
      </c>
      <c r="J13" s="38" t="s">
        <v>11</v>
      </c>
      <c r="K13" s="38" t="s">
        <v>445</v>
      </c>
      <c r="L13" s="38" t="s">
        <v>10</v>
      </c>
      <c r="M13" s="38" t="s">
        <v>10</v>
      </c>
      <c r="N13" s="44" t="s">
        <v>10</v>
      </c>
      <c r="O13" s="43">
        <v>1423</v>
      </c>
      <c r="P13" s="43">
        <v>148</v>
      </c>
      <c r="Q13" s="44">
        <v>10.7</v>
      </c>
      <c r="R13" s="41">
        <v>32</v>
      </c>
      <c r="IA13" s="33"/>
      <c r="IB13" s="33"/>
      <c r="IC13" s="33"/>
      <c r="ID13" s="33"/>
      <c r="IE13" s="33"/>
      <c r="IF13" s="33"/>
      <c r="IG13" s="33"/>
      <c r="IH13" s="33"/>
    </row>
    <row r="14" spans="1:242" ht="15" customHeight="1">
      <c r="A14" s="65" t="s">
        <v>438</v>
      </c>
      <c r="B14" s="41">
        <v>2014</v>
      </c>
      <c r="C14" s="38" t="s">
        <v>206</v>
      </c>
      <c r="D14" s="38" t="s">
        <v>411</v>
      </c>
      <c r="E14" s="38" t="s">
        <v>434</v>
      </c>
      <c r="F14" s="38" t="s">
        <v>9</v>
      </c>
      <c r="G14" s="41">
        <v>2010</v>
      </c>
      <c r="H14" s="38" t="s">
        <v>439</v>
      </c>
      <c r="I14" s="38" t="s">
        <v>440</v>
      </c>
      <c r="J14" s="38" t="s">
        <v>11</v>
      </c>
      <c r="K14" s="38" t="s">
        <v>442</v>
      </c>
      <c r="L14" s="38" t="s">
        <v>10</v>
      </c>
      <c r="M14" s="38" t="s">
        <v>10</v>
      </c>
      <c r="N14" s="44" t="s">
        <v>10</v>
      </c>
      <c r="O14" s="43">
        <v>590</v>
      </c>
      <c r="P14" s="43">
        <v>24</v>
      </c>
      <c r="Q14" s="44">
        <v>3.5</v>
      </c>
      <c r="R14" s="41">
        <v>32</v>
      </c>
      <c r="IA14" s="33"/>
      <c r="IB14" s="33"/>
      <c r="IC14" s="33"/>
      <c r="ID14" s="33"/>
      <c r="IE14" s="33"/>
      <c r="IF14" s="33"/>
      <c r="IG14" s="33"/>
      <c r="IH14" s="33"/>
    </row>
    <row r="15" spans="1:242" ht="15" customHeight="1">
      <c r="A15" s="65" t="s">
        <v>438</v>
      </c>
      <c r="B15" s="41">
        <v>2014</v>
      </c>
      <c r="C15" s="38" t="s">
        <v>206</v>
      </c>
      <c r="D15" s="38" t="s">
        <v>411</v>
      </c>
      <c r="E15" s="38" t="s">
        <v>434</v>
      </c>
      <c r="F15" s="38" t="s">
        <v>9</v>
      </c>
      <c r="G15" s="41">
        <v>2010</v>
      </c>
      <c r="H15" s="38" t="s">
        <v>439</v>
      </c>
      <c r="I15" s="38" t="s">
        <v>440</v>
      </c>
      <c r="J15" s="38" t="s">
        <v>11</v>
      </c>
      <c r="K15" s="38" t="s">
        <v>443</v>
      </c>
      <c r="L15" s="38" t="s">
        <v>10</v>
      </c>
      <c r="M15" s="38" t="s">
        <v>10</v>
      </c>
      <c r="N15" s="44" t="s">
        <v>10</v>
      </c>
      <c r="O15" s="43">
        <v>537</v>
      </c>
      <c r="P15" s="43">
        <v>46</v>
      </c>
      <c r="Q15" s="44">
        <v>9.3000000000000007</v>
      </c>
      <c r="R15" s="41">
        <v>32</v>
      </c>
      <c r="IA15" s="33"/>
      <c r="IB15" s="33"/>
      <c r="IC15" s="33"/>
      <c r="ID15" s="33"/>
      <c r="IE15" s="33"/>
      <c r="IF15" s="33"/>
      <c r="IG15" s="33"/>
      <c r="IH15" s="33"/>
    </row>
    <row r="16" spans="1:242" ht="15" customHeight="1">
      <c r="A16" s="65" t="s">
        <v>438</v>
      </c>
      <c r="B16" s="41">
        <v>2014</v>
      </c>
      <c r="C16" s="38" t="s">
        <v>206</v>
      </c>
      <c r="D16" s="38" t="s">
        <v>411</v>
      </c>
      <c r="E16" s="38" t="s">
        <v>434</v>
      </c>
      <c r="F16" s="38" t="s">
        <v>9</v>
      </c>
      <c r="G16" s="41">
        <v>2010</v>
      </c>
      <c r="H16" s="38" t="s">
        <v>439</v>
      </c>
      <c r="I16" s="38" t="s">
        <v>440</v>
      </c>
      <c r="J16" s="38" t="s">
        <v>11</v>
      </c>
      <c r="K16" s="38" t="s">
        <v>444</v>
      </c>
      <c r="L16" s="38" t="s">
        <v>10</v>
      </c>
      <c r="M16" s="38" t="s">
        <v>10</v>
      </c>
      <c r="N16" s="44" t="s">
        <v>10</v>
      </c>
      <c r="O16" s="43">
        <v>212</v>
      </c>
      <c r="P16" s="43">
        <v>48</v>
      </c>
      <c r="Q16" s="44">
        <v>30.2</v>
      </c>
      <c r="R16" s="41">
        <v>32</v>
      </c>
      <c r="IA16" s="33"/>
      <c r="IB16" s="33"/>
      <c r="IC16" s="33"/>
      <c r="ID16" s="33"/>
      <c r="IE16" s="33"/>
      <c r="IF16" s="33"/>
      <c r="IG16" s="33"/>
      <c r="IH16" s="33"/>
    </row>
    <row r="17" spans="1:242" ht="15" customHeight="1">
      <c r="A17" s="65" t="s">
        <v>438</v>
      </c>
      <c r="B17" s="41">
        <v>2014</v>
      </c>
      <c r="C17" s="38" t="s">
        <v>206</v>
      </c>
      <c r="D17" s="38" t="s">
        <v>411</v>
      </c>
      <c r="E17" s="38" t="s">
        <v>434</v>
      </c>
      <c r="F17" s="38" t="s">
        <v>9</v>
      </c>
      <c r="G17" s="41">
        <v>2010</v>
      </c>
      <c r="H17" s="38" t="s">
        <v>439</v>
      </c>
      <c r="I17" s="38" t="s">
        <v>440</v>
      </c>
      <c r="J17" s="38" t="s">
        <v>11</v>
      </c>
      <c r="K17" s="38" t="s">
        <v>65</v>
      </c>
      <c r="L17" s="38" t="s">
        <v>10</v>
      </c>
      <c r="M17" s="38" t="s">
        <v>10</v>
      </c>
      <c r="N17" s="44" t="s">
        <v>10</v>
      </c>
      <c r="O17" s="43">
        <v>83</v>
      </c>
      <c r="P17" s="43">
        <v>30</v>
      </c>
      <c r="Q17" s="44">
        <v>43.3</v>
      </c>
      <c r="R17" s="41">
        <v>32</v>
      </c>
      <c r="IA17" s="33"/>
      <c r="IB17" s="33"/>
      <c r="IC17" s="33"/>
      <c r="ID17" s="33"/>
      <c r="IE17" s="33"/>
      <c r="IF17" s="33"/>
      <c r="IG17" s="33"/>
      <c r="IH17" s="33"/>
    </row>
    <row r="18" spans="1:242" ht="15" customHeight="1">
      <c r="A18" s="65" t="s">
        <v>438</v>
      </c>
      <c r="B18" s="41">
        <v>2015</v>
      </c>
      <c r="C18" s="38" t="s">
        <v>206</v>
      </c>
      <c r="D18" s="38" t="s">
        <v>411</v>
      </c>
      <c r="E18" s="38" t="s">
        <v>9</v>
      </c>
      <c r="F18" s="38" t="s">
        <v>333</v>
      </c>
      <c r="G18" s="38" t="s">
        <v>446</v>
      </c>
      <c r="H18" s="42" t="s">
        <v>614</v>
      </c>
      <c r="I18" s="38" t="s">
        <v>447</v>
      </c>
      <c r="J18" s="38" t="s">
        <v>11</v>
      </c>
      <c r="K18" s="38" t="s">
        <v>448</v>
      </c>
      <c r="L18" s="38" t="s">
        <v>10</v>
      </c>
      <c r="M18" s="38" t="s">
        <v>10</v>
      </c>
      <c r="N18" s="44" t="s">
        <v>10</v>
      </c>
      <c r="O18" s="43">
        <v>883</v>
      </c>
      <c r="P18" s="43">
        <v>454</v>
      </c>
      <c r="Q18" s="44">
        <f t="shared" ref="Q18:Q25" si="1">100*P18/O18</f>
        <v>51.415628539071349</v>
      </c>
      <c r="R18" s="41">
        <v>33</v>
      </c>
      <c r="IA18" s="33"/>
      <c r="IB18" s="33"/>
      <c r="IC18" s="33"/>
      <c r="ID18" s="33"/>
      <c r="IE18" s="33"/>
      <c r="IF18" s="33"/>
      <c r="IG18" s="33"/>
      <c r="IH18" s="33"/>
    </row>
    <row r="19" spans="1:242" ht="15" customHeight="1">
      <c r="A19" s="65" t="s">
        <v>449</v>
      </c>
      <c r="B19" s="38" t="s">
        <v>450</v>
      </c>
      <c r="C19" s="38" t="s">
        <v>206</v>
      </c>
      <c r="D19" s="38" t="s">
        <v>451</v>
      </c>
      <c r="E19" s="38" t="s">
        <v>452</v>
      </c>
      <c r="F19" s="38" t="s">
        <v>334</v>
      </c>
      <c r="G19" s="38" t="s">
        <v>446</v>
      </c>
      <c r="H19" s="38" t="s">
        <v>453</v>
      </c>
      <c r="I19" s="38" t="s">
        <v>447</v>
      </c>
      <c r="J19" s="38" t="s">
        <v>16</v>
      </c>
      <c r="K19" s="38" t="s">
        <v>454</v>
      </c>
      <c r="L19" s="38" t="s">
        <v>10</v>
      </c>
      <c r="M19" s="38" t="s">
        <v>10</v>
      </c>
      <c r="N19" s="44" t="s">
        <v>10</v>
      </c>
      <c r="O19" s="43">
        <v>1024</v>
      </c>
      <c r="P19" s="43">
        <v>272</v>
      </c>
      <c r="Q19" s="44">
        <f t="shared" si="1"/>
        <v>26.5625</v>
      </c>
      <c r="R19" s="42" t="s">
        <v>642</v>
      </c>
      <c r="IA19" s="33"/>
      <c r="IB19" s="33"/>
      <c r="IC19" s="33"/>
      <c r="ID19" s="33"/>
      <c r="IE19" s="33"/>
      <c r="IF19" s="33"/>
      <c r="IG19" s="33"/>
      <c r="IH19" s="33"/>
    </row>
    <row r="20" spans="1:242" ht="15" customHeight="1">
      <c r="A20" s="65" t="s">
        <v>449</v>
      </c>
      <c r="B20" s="38" t="s">
        <v>450</v>
      </c>
      <c r="C20" s="38" t="s">
        <v>206</v>
      </c>
      <c r="D20" s="38" t="s">
        <v>451</v>
      </c>
      <c r="E20" s="38" t="s">
        <v>452</v>
      </c>
      <c r="F20" s="38" t="s">
        <v>334</v>
      </c>
      <c r="G20" s="38" t="s">
        <v>446</v>
      </c>
      <c r="H20" s="38" t="s">
        <v>453</v>
      </c>
      <c r="I20" s="38" t="s">
        <v>447</v>
      </c>
      <c r="J20" s="38" t="s">
        <v>16</v>
      </c>
      <c r="K20" s="38" t="s">
        <v>443</v>
      </c>
      <c r="L20" s="38" t="s">
        <v>10</v>
      </c>
      <c r="M20" s="38" t="s">
        <v>10</v>
      </c>
      <c r="N20" s="44" t="s">
        <v>10</v>
      </c>
      <c r="O20" s="43">
        <v>243</v>
      </c>
      <c r="P20" s="43">
        <v>26</v>
      </c>
      <c r="Q20" s="44">
        <f t="shared" si="1"/>
        <v>10.699588477366255</v>
      </c>
      <c r="R20" s="42" t="s">
        <v>642</v>
      </c>
      <c r="IA20" s="33"/>
      <c r="IB20" s="33"/>
      <c r="IC20" s="33"/>
      <c r="ID20" s="33"/>
      <c r="IE20" s="33"/>
      <c r="IF20" s="33"/>
      <c r="IG20" s="33"/>
      <c r="IH20" s="33"/>
    </row>
    <row r="21" spans="1:242" ht="15" customHeight="1">
      <c r="A21" s="65" t="s">
        <v>449</v>
      </c>
      <c r="B21" s="38" t="s">
        <v>450</v>
      </c>
      <c r="C21" s="38" t="s">
        <v>206</v>
      </c>
      <c r="D21" s="38" t="s">
        <v>451</v>
      </c>
      <c r="E21" s="38" t="s">
        <v>452</v>
      </c>
      <c r="F21" s="38" t="s">
        <v>334</v>
      </c>
      <c r="G21" s="38" t="s">
        <v>446</v>
      </c>
      <c r="H21" s="38" t="s">
        <v>453</v>
      </c>
      <c r="I21" s="38" t="s">
        <v>447</v>
      </c>
      <c r="J21" s="38" t="s">
        <v>16</v>
      </c>
      <c r="K21" s="38" t="s">
        <v>444</v>
      </c>
      <c r="L21" s="38" t="s">
        <v>10</v>
      </c>
      <c r="M21" s="38" t="s">
        <v>10</v>
      </c>
      <c r="N21" s="44" t="s">
        <v>10</v>
      </c>
      <c r="O21" s="43">
        <f>O27+O33</f>
        <v>105</v>
      </c>
      <c r="P21" s="43">
        <f>P33+P27</f>
        <v>18.487000000000002</v>
      </c>
      <c r="Q21" s="44">
        <f t="shared" si="1"/>
        <v>17.606666666666669</v>
      </c>
      <c r="R21" s="42" t="s">
        <v>642</v>
      </c>
      <c r="IA21" s="33"/>
      <c r="IB21" s="33"/>
      <c r="IC21" s="33"/>
      <c r="ID21" s="33"/>
      <c r="IE21" s="33"/>
      <c r="IF21" s="33"/>
      <c r="IG21" s="33"/>
      <c r="IH21" s="33"/>
    </row>
    <row r="22" spans="1:242" ht="15" customHeight="1">
      <c r="A22" s="65" t="s">
        <v>449</v>
      </c>
      <c r="B22" s="38" t="s">
        <v>450</v>
      </c>
      <c r="C22" s="38" t="s">
        <v>206</v>
      </c>
      <c r="D22" s="38" t="s">
        <v>451</v>
      </c>
      <c r="E22" s="38" t="s">
        <v>452</v>
      </c>
      <c r="F22" s="38" t="s">
        <v>334</v>
      </c>
      <c r="G22" s="38" t="s">
        <v>446</v>
      </c>
      <c r="H22" s="38" t="s">
        <v>453</v>
      </c>
      <c r="I22" s="38" t="s">
        <v>447</v>
      </c>
      <c r="J22" s="38" t="s">
        <v>16</v>
      </c>
      <c r="K22" s="38" t="s">
        <v>25</v>
      </c>
      <c r="L22" s="38" t="s">
        <v>10</v>
      </c>
      <c r="M22" s="38" t="s">
        <v>10</v>
      </c>
      <c r="N22" s="44" t="s">
        <v>10</v>
      </c>
      <c r="O22" s="43">
        <f>O28+O34</f>
        <v>520</v>
      </c>
      <c r="P22" s="43">
        <f>P34+P28</f>
        <v>152.13800000000001</v>
      </c>
      <c r="Q22" s="44">
        <f t="shared" si="1"/>
        <v>29.257307692307695</v>
      </c>
      <c r="R22" s="42" t="s">
        <v>642</v>
      </c>
      <c r="IA22" s="33"/>
      <c r="IB22" s="33"/>
      <c r="IC22" s="33"/>
      <c r="ID22" s="33"/>
      <c r="IE22" s="33"/>
      <c r="IF22" s="33"/>
      <c r="IG22" s="33"/>
      <c r="IH22" s="33"/>
    </row>
    <row r="23" spans="1:242" ht="15" customHeight="1">
      <c r="A23" s="65" t="s">
        <v>449</v>
      </c>
      <c r="B23" s="38" t="s">
        <v>450</v>
      </c>
      <c r="C23" s="38" t="s">
        <v>206</v>
      </c>
      <c r="D23" s="38" t="s">
        <v>451</v>
      </c>
      <c r="E23" s="38" t="s">
        <v>452</v>
      </c>
      <c r="F23" s="38" t="s">
        <v>334</v>
      </c>
      <c r="G23" s="38" t="s">
        <v>446</v>
      </c>
      <c r="H23" s="38" t="s">
        <v>453</v>
      </c>
      <c r="I23" s="38" t="s">
        <v>447</v>
      </c>
      <c r="J23" s="38" t="s">
        <v>16</v>
      </c>
      <c r="K23" s="38" t="s">
        <v>26</v>
      </c>
      <c r="L23" s="38" t="s">
        <v>10</v>
      </c>
      <c r="M23" s="38" t="s">
        <v>10</v>
      </c>
      <c r="N23" s="44" t="s">
        <v>10</v>
      </c>
      <c r="O23" s="43">
        <f>O29+O35</f>
        <v>149</v>
      </c>
      <c r="P23" s="43">
        <f>P35+P29</f>
        <v>57.470999999999997</v>
      </c>
      <c r="Q23" s="44">
        <f t="shared" si="1"/>
        <v>38.571140939597313</v>
      </c>
      <c r="R23" s="42" t="s">
        <v>642</v>
      </c>
      <c r="IA23" s="33"/>
      <c r="IB23" s="33"/>
      <c r="IC23" s="33"/>
      <c r="ID23" s="33"/>
      <c r="IE23" s="33"/>
      <c r="IF23" s="33"/>
      <c r="IG23" s="33"/>
      <c r="IH23" s="33"/>
    </row>
    <row r="24" spans="1:242" ht="15" customHeight="1">
      <c r="A24" s="65" t="s">
        <v>449</v>
      </c>
      <c r="B24" s="38" t="s">
        <v>450</v>
      </c>
      <c r="C24" s="38" t="s">
        <v>206</v>
      </c>
      <c r="D24" s="38" t="s">
        <v>451</v>
      </c>
      <c r="E24" s="38" t="s">
        <v>452</v>
      </c>
      <c r="F24" s="38" t="s">
        <v>334</v>
      </c>
      <c r="G24" s="38" t="s">
        <v>446</v>
      </c>
      <c r="H24" s="38" t="s">
        <v>453</v>
      </c>
      <c r="I24" s="38" t="s">
        <v>447</v>
      </c>
      <c r="J24" s="38" t="s">
        <v>16</v>
      </c>
      <c r="K24" s="38" t="s">
        <v>27</v>
      </c>
      <c r="L24" s="38" t="s">
        <v>10</v>
      </c>
      <c r="M24" s="38" t="s">
        <v>10</v>
      </c>
      <c r="N24" s="44" t="s">
        <v>10</v>
      </c>
      <c r="O24" s="43">
        <f>O30+O36</f>
        <v>62</v>
      </c>
      <c r="P24" s="43">
        <f>P36+P30</f>
        <v>38.500999999999998</v>
      </c>
      <c r="Q24" s="44">
        <f t="shared" si="1"/>
        <v>62.098387096774189</v>
      </c>
      <c r="R24" s="42" t="s">
        <v>642</v>
      </c>
      <c r="IA24" s="33"/>
      <c r="IB24" s="33"/>
      <c r="IC24" s="33"/>
      <c r="ID24" s="33"/>
      <c r="IE24" s="33"/>
      <c r="IF24" s="33"/>
      <c r="IG24" s="33"/>
      <c r="IH24" s="33"/>
    </row>
    <row r="25" spans="1:242" ht="15" customHeight="1">
      <c r="A25" s="65" t="s">
        <v>449</v>
      </c>
      <c r="B25" s="38" t="s">
        <v>450</v>
      </c>
      <c r="C25" s="38" t="s">
        <v>206</v>
      </c>
      <c r="D25" s="38" t="s">
        <v>451</v>
      </c>
      <c r="E25" s="38" t="s">
        <v>452</v>
      </c>
      <c r="F25" s="38" t="s">
        <v>334</v>
      </c>
      <c r="G25" s="38" t="s">
        <v>446</v>
      </c>
      <c r="H25" s="38" t="s">
        <v>453</v>
      </c>
      <c r="I25" s="38" t="s">
        <v>447</v>
      </c>
      <c r="J25" s="38" t="s">
        <v>23</v>
      </c>
      <c r="K25" s="38" t="s">
        <v>454</v>
      </c>
      <c r="L25" s="38" t="s">
        <v>10</v>
      </c>
      <c r="M25" s="38" t="s">
        <v>10</v>
      </c>
      <c r="N25" s="44" t="s">
        <v>10</v>
      </c>
      <c r="O25" s="43">
        <v>492</v>
      </c>
      <c r="P25" s="43">
        <v>58</v>
      </c>
      <c r="Q25" s="44">
        <f t="shared" si="1"/>
        <v>11.788617886178862</v>
      </c>
      <c r="R25" s="42" t="s">
        <v>642</v>
      </c>
      <c r="IA25" s="33"/>
      <c r="IB25" s="33"/>
      <c r="IC25" s="33"/>
      <c r="ID25" s="33"/>
      <c r="IE25" s="33"/>
      <c r="IF25" s="33"/>
      <c r="IG25" s="33"/>
      <c r="IH25" s="33"/>
    </row>
    <row r="26" spans="1:242" ht="15" customHeight="1">
      <c r="A26" s="65" t="s">
        <v>449</v>
      </c>
      <c r="B26" s="38" t="s">
        <v>450</v>
      </c>
      <c r="C26" s="38" t="s">
        <v>206</v>
      </c>
      <c r="D26" s="38" t="s">
        <v>451</v>
      </c>
      <c r="E26" s="38" t="s">
        <v>452</v>
      </c>
      <c r="F26" s="38" t="s">
        <v>334</v>
      </c>
      <c r="G26" s="38" t="s">
        <v>446</v>
      </c>
      <c r="H26" s="38" t="s">
        <v>453</v>
      </c>
      <c r="I26" s="38" t="s">
        <v>447</v>
      </c>
      <c r="J26" s="38" t="s">
        <v>23</v>
      </c>
      <c r="K26" s="38" t="s">
        <v>443</v>
      </c>
      <c r="L26" s="38" t="s">
        <v>10</v>
      </c>
      <c r="M26" s="38" t="s">
        <v>10</v>
      </c>
      <c r="N26" s="44" t="s">
        <v>10</v>
      </c>
      <c r="O26" s="43">
        <f>P26*100/Q26</f>
        <v>105.26315789473685</v>
      </c>
      <c r="P26" s="43">
        <v>2</v>
      </c>
      <c r="Q26" s="44">
        <v>1.9</v>
      </c>
      <c r="R26" s="42" t="s">
        <v>642</v>
      </c>
      <c r="IA26" s="33"/>
      <c r="IB26" s="33"/>
      <c r="IC26" s="33"/>
      <c r="ID26" s="33"/>
      <c r="IE26" s="33"/>
      <c r="IF26" s="33"/>
      <c r="IG26" s="33"/>
      <c r="IH26" s="33"/>
    </row>
    <row r="27" spans="1:242" ht="15" customHeight="1">
      <c r="A27" s="65" t="s">
        <v>449</v>
      </c>
      <c r="B27" s="38" t="s">
        <v>450</v>
      </c>
      <c r="C27" s="38" t="s">
        <v>206</v>
      </c>
      <c r="D27" s="38" t="s">
        <v>451</v>
      </c>
      <c r="E27" s="38" t="s">
        <v>452</v>
      </c>
      <c r="F27" s="38" t="s">
        <v>334</v>
      </c>
      <c r="G27" s="38" t="s">
        <v>455</v>
      </c>
      <c r="H27" s="38" t="s">
        <v>453</v>
      </c>
      <c r="I27" s="38" t="s">
        <v>456</v>
      </c>
      <c r="J27" s="38" t="s">
        <v>23</v>
      </c>
      <c r="K27" s="38" t="s">
        <v>444</v>
      </c>
      <c r="L27" s="38" t="s">
        <v>10</v>
      </c>
      <c r="M27" s="38" t="s">
        <v>10</v>
      </c>
      <c r="N27" s="44" t="s">
        <v>10</v>
      </c>
      <c r="O27" s="43">
        <v>49</v>
      </c>
      <c r="P27" s="43">
        <f>Q27*O27/100</f>
        <v>3.0869999999999997</v>
      </c>
      <c r="Q27" s="44">
        <v>6.3</v>
      </c>
      <c r="R27" s="42" t="s">
        <v>642</v>
      </c>
      <c r="IA27" s="33"/>
      <c r="IB27" s="33"/>
      <c r="IC27" s="33"/>
      <c r="ID27" s="33"/>
      <c r="IE27" s="33"/>
      <c r="IF27" s="33"/>
      <c r="IG27" s="33"/>
      <c r="IH27" s="33"/>
    </row>
    <row r="28" spans="1:242" ht="15" customHeight="1">
      <c r="A28" s="65" t="s">
        <v>449</v>
      </c>
      <c r="B28" s="38" t="s">
        <v>450</v>
      </c>
      <c r="C28" s="38" t="s">
        <v>206</v>
      </c>
      <c r="D28" s="38" t="s">
        <v>451</v>
      </c>
      <c r="E28" s="38" t="s">
        <v>452</v>
      </c>
      <c r="F28" s="38" t="s">
        <v>334</v>
      </c>
      <c r="G28" s="38" t="s">
        <v>455</v>
      </c>
      <c r="H28" s="38" t="s">
        <v>453</v>
      </c>
      <c r="I28" s="38" t="s">
        <v>456</v>
      </c>
      <c r="J28" s="38" t="s">
        <v>23</v>
      </c>
      <c r="K28" s="38" t="s">
        <v>25</v>
      </c>
      <c r="L28" s="38" t="s">
        <v>10</v>
      </c>
      <c r="M28" s="38" t="s">
        <v>10</v>
      </c>
      <c r="N28" s="44" t="s">
        <v>10</v>
      </c>
      <c r="O28" s="43">
        <v>254</v>
      </c>
      <c r="P28" s="43">
        <f>Q28*O28/100</f>
        <v>28.447999999999997</v>
      </c>
      <c r="Q28" s="44">
        <v>11.2</v>
      </c>
      <c r="R28" s="42" t="s">
        <v>642</v>
      </c>
      <c r="IA28" s="33"/>
      <c r="IB28" s="33"/>
      <c r="IC28" s="33"/>
      <c r="ID28" s="33"/>
      <c r="IE28" s="33"/>
      <c r="IF28" s="33"/>
      <c r="IG28" s="33"/>
      <c r="IH28" s="33"/>
    </row>
    <row r="29" spans="1:242" ht="15" customHeight="1">
      <c r="A29" s="65" t="s">
        <v>449</v>
      </c>
      <c r="B29" s="38" t="s">
        <v>450</v>
      </c>
      <c r="C29" s="38" t="s">
        <v>206</v>
      </c>
      <c r="D29" s="38" t="s">
        <v>451</v>
      </c>
      <c r="E29" s="38" t="s">
        <v>452</v>
      </c>
      <c r="F29" s="38" t="s">
        <v>334</v>
      </c>
      <c r="G29" s="38" t="s">
        <v>455</v>
      </c>
      <c r="H29" s="38" t="s">
        <v>453</v>
      </c>
      <c r="I29" s="38" t="s">
        <v>456</v>
      </c>
      <c r="J29" s="38" t="s">
        <v>23</v>
      </c>
      <c r="K29" s="38" t="s">
        <v>26</v>
      </c>
      <c r="L29" s="38" t="s">
        <v>10</v>
      </c>
      <c r="M29" s="38" t="s">
        <v>10</v>
      </c>
      <c r="N29" s="44" t="s">
        <v>10</v>
      </c>
      <c r="O29" s="43">
        <v>76</v>
      </c>
      <c r="P29" s="43">
        <f>Q29*O29/100</f>
        <v>13.452</v>
      </c>
      <c r="Q29" s="44">
        <v>17.7</v>
      </c>
      <c r="R29" s="42" t="s">
        <v>642</v>
      </c>
      <c r="IA29" s="33"/>
      <c r="IB29" s="33"/>
      <c r="IC29" s="33"/>
      <c r="ID29" s="33"/>
      <c r="IE29" s="33"/>
      <c r="IF29" s="33"/>
      <c r="IG29" s="33"/>
      <c r="IH29" s="33"/>
    </row>
    <row r="30" spans="1:242" ht="15" customHeight="1">
      <c r="A30" s="65" t="s">
        <v>449</v>
      </c>
      <c r="B30" s="38" t="s">
        <v>450</v>
      </c>
      <c r="C30" s="38" t="s">
        <v>206</v>
      </c>
      <c r="D30" s="38" t="s">
        <v>451</v>
      </c>
      <c r="E30" s="38" t="s">
        <v>452</v>
      </c>
      <c r="F30" s="38" t="s">
        <v>334</v>
      </c>
      <c r="G30" s="38" t="s">
        <v>455</v>
      </c>
      <c r="H30" s="38" t="s">
        <v>453</v>
      </c>
      <c r="I30" s="38" t="s">
        <v>456</v>
      </c>
      <c r="J30" s="38" t="s">
        <v>23</v>
      </c>
      <c r="K30" s="38" t="s">
        <v>27</v>
      </c>
      <c r="L30" s="38" t="s">
        <v>10</v>
      </c>
      <c r="M30" s="38" t="s">
        <v>10</v>
      </c>
      <c r="N30" s="44" t="s">
        <v>10</v>
      </c>
      <c r="O30" s="43">
        <v>33</v>
      </c>
      <c r="P30" s="43">
        <f>Q30*O30/100</f>
        <v>15.938999999999998</v>
      </c>
      <c r="Q30" s="44">
        <v>48.3</v>
      </c>
      <c r="R30" s="42" t="s">
        <v>642</v>
      </c>
      <c r="IA30" s="33"/>
      <c r="IB30" s="33"/>
      <c r="IC30" s="33"/>
      <c r="ID30" s="33"/>
      <c r="IE30" s="33"/>
      <c r="IF30" s="33"/>
      <c r="IG30" s="33"/>
      <c r="IH30" s="33"/>
    </row>
    <row r="31" spans="1:242" ht="15" customHeight="1">
      <c r="A31" s="65" t="s">
        <v>449</v>
      </c>
      <c r="B31" s="38" t="s">
        <v>450</v>
      </c>
      <c r="C31" s="38" t="s">
        <v>206</v>
      </c>
      <c r="D31" s="38" t="s">
        <v>451</v>
      </c>
      <c r="E31" s="38" t="s">
        <v>452</v>
      </c>
      <c r="F31" s="38" t="s">
        <v>334</v>
      </c>
      <c r="G31" s="38" t="s">
        <v>446</v>
      </c>
      <c r="H31" s="38" t="s">
        <v>453</v>
      </c>
      <c r="I31" s="38" t="s">
        <v>447</v>
      </c>
      <c r="J31" s="38" t="s">
        <v>11</v>
      </c>
      <c r="K31" s="38" t="s">
        <v>454</v>
      </c>
      <c r="L31" s="38" t="s">
        <v>10</v>
      </c>
      <c r="M31" s="38" t="s">
        <v>10</v>
      </c>
      <c r="N31" s="44" t="s">
        <v>10</v>
      </c>
      <c r="O31" s="43">
        <f>1024-492</f>
        <v>532</v>
      </c>
      <c r="P31" s="43">
        <v>214</v>
      </c>
      <c r="Q31" s="44">
        <f>100*P31/O31</f>
        <v>40.225563909774436</v>
      </c>
      <c r="R31" s="42" t="s">
        <v>642</v>
      </c>
      <c r="IA31" s="33"/>
      <c r="IB31" s="33"/>
      <c r="IC31" s="33"/>
      <c r="ID31" s="33"/>
      <c r="IE31" s="33"/>
      <c r="IF31" s="33"/>
      <c r="IG31" s="33"/>
      <c r="IH31" s="33"/>
    </row>
    <row r="32" spans="1:242" ht="15" customHeight="1">
      <c r="A32" s="65" t="s">
        <v>449</v>
      </c>
      <c r="B32" s="38" t="s">
        <v>450</v>
      </c>
      <c r="C32" s="38" t="s">
        <v>206</v>
      </c>
      <c r="D32" s="38" t="s">
        <v>451</v>
      </c>
      <c r="E32" s="38" t="s">
        <v>452</v>
      </c>
      <c r="F32" s="38" t="s">
        <v>334</v>
      </c>
      <c r="G32" s="38" t="s">
        <v>446</v>
      </c>
      <c r="H32" s="38" t="s">
        <v>453</v>
      </c>
      <c r="I32" s="38" t="s">
        <v>447</v>
      </c>
      <c r="J32" s="38" t="s">
        <v>11</v>
      </c>
      <c r="K32" s="38" t="s">
        <v>443</v>
      </c>
      <c r="L32" s="38" t="s">
        <v>10</v>
      </c>
      <c r="M32" s="38" t="s">
        <v>10</v>
      </c>
      <c r="N32" s="44" t="s">
        <v>10</v>
      </c>
      <c r="O32" s="43">
        <f>P32*100/Q32</f>
        <v>138.72832369942196</v>
      </c>
      <c r="P32" s="43">
        <v>24</v>
      </c>
      <c r="Q32" s="44">
        <v>17.3</v>
      </c>
      <c r="R32" s="42" t="s">
        <v>642</v>
      </c>
      <c r="IA32" s="33"/>
      <c r="IB32" s="33"/>
      <c r="IC32" s="33"/>
      <c r="ID32" s="33"/>
      <c r="IE32" s="33"/>
      <c r="IF32" s="33"/>
      <c r="IG32" s="33"/>
      <c r="IH32" s="33"/>
    </row>
    <row r="33" spans="1:242" ht="15" customHeight="1">
      <c r="A33" s="65" t="s">
        <v>449</v>
      </c>
      <c r="B33" s="38" t="s">
        <v>450</v>
      </c>
      <c r="C33" s="38" t="s">
        <v>206</v>
      </c>
      <c r="D33" s="38" t="s">
        <v>451</v>
      </c>
      <c r="E33" s="38" t="s">
        <v>452</v>
      </c>
      <c r="F33" s="38" t="s">
        <v>334</v>
      </c>
      <c r="G33" s="38" t="s">
        <v>455</v>
      </c>
      <c r="H33" s="38" t="s">
        <v>453</v>
      </c>
      <c r="I33" s="38" t="s">
        <v>456</v>
      </c>
      <c r="J33" s="38" t="s">
        <v>11</v>
      </c>
      <c r="K33" s="38" t="s">
        <v>444</v>
      </c>
      <c r="L33" s="38" t="s">
        <v>10</v>
      </c>
      <c r="M33" s="38" t="s">
        <v>10</v>
      </c>
      <c r="N33" s="44" t="s">
        <v>10</v>
      </c>
      <c r="O33" s="43">
        <v>56</v>
      </c>
      <c r="P33" s="43">
        <f>Q33*O33/100</f>
        <v>15.4</v>
      </c>
      <c r="Q33" s="44">
        <v>27.5</v>
      </c>
      <c r="R33" s="42" t="s">
        <v>642</v>
      </c>
      <c r="IA33" s="33"/>
      <c r="IB33" s="33"/>
      <c r="IC33" s="33"/>
      <c r="ID33" s="33"/>
      <c r="IE33" s="33"/>
      <c r="IF33" s="33"/>
      <c r="IG33" s="33"/>
      <c r="IH33" s="33"/>
    </row>
    <row r="34" spans="1:242" ht="15" customHeight="1">
      <c r="A34" s="65" t="s">
        <v>449</v>
      </c>
      <c r="B34" s="38" t="s">
        <v>450</v>
      </c>
      <c r="C34" s="38" t="s">
        <v>206</v>
      </c>
      <c r="D34" s="38" t="s">
        <v>451</v>
      </c>
      <c r="E34" s="38" t="s">
        <v>452</v>
      </c>
      <c r="F34" s="38" t="s">
        <v>334</v>
      </c>
      <c r="G34" s="38" t="s">
        <v>455</v>
      </c>
      <c r="H34" s="38" t="s">
        <v>453</v>
      </c>
      <c r="I34" s="38" t="s">
        <v>456</v>
      </c>
      <c r="J34" s="38" t="s">
        <v>11</v>
      </c>
      <c r="K34" s="38" t="s">
        <v>25</v>
      </c>
      <c r="L34" s="38" t="s">
        <v>10</v>
      </c>
      <c r="M34" s="38" t="s">
        <v>10</v>
      </c>
      <c r="N34" s="44" t="s">
        <v>10</v>
      </c>
      <c r="O34" s="43">
        <v>266</v>
      </c>
      <c r="P34" s="43">
        <f>Q34*O34/100</f>
        <v>123.69</v>
      </c>
      <c r="Q34" s="44">
        <v>46.5</v>
      </c>
      <c r="R34" s="42" t="s">
        <v>642</v>
      </c>
      <c r="IA34" s="33"/>
      <c r="IB34" s="33"/>
      <c r="IC34" s="33"/>
      <c r="ID34" s="33"/>
      <c r="IE34" s="33"/>
      <c r="IF34" s="33"/>
      <c r="IG34" s="33"/>
      <c r="IH34" s="33"/>
    </row>
    <row r="35" spans="1:242" ht="15" customHeight="1">
      <c r="A35" s="65" t="s">
        <v>449</v>
      </c>
      <c r="B35" s="38" t="s">
        <v>450</v>
      </c>
      <c r="C35" s="38" t="s">
        <v>206</v>
      </c>
      <c r="D35" s="38" t="s">
        <v>451</v>
      </c>
      <c r="E35" s="38" t="s">
        <v>452</v>
      </c>
      <c r="F35" s="38" t="s">
        <v>334</v>
      </c>
      <c r="G35" s="38" t="s">
        <v>455</v>
      </c>
      <c r="H35" s="38" t="s">
        <v>453</v>
      </c>
      <c r="I35" s="38" t="s">
        <v>456</v>
      </c>
      <c r="J35" s="38" t="s">
        <v>11</v>
      </c>
      <c r="K35" s="38" t="s">
        <v>26</v>
      </c>
      <c r="L35" s="38" t="s">
        <v>10</v>
      </c>
      <c r="M35" s="38" t="s">
        <v>10</v>
      </c>
      <c r="N35" s="44" t="s">
        <v>10</v>
      </c>
      <c r="O35" s="43">
        <v>73</v>
      </c>
      <c r="P35" s="43">
        <f>Q35*O35/100</f>
        <v>44.018999999999998</v>
      </c>
      <c r="Q35" s="44">
        <v>60.3</v>
      </c>
      <c r="R35" s="42" t="s">
        <v>642</v>
      </c>
      <c r="IA35" s="33"/>
      <c r="IB35" s="33"/>
      <c r="IC35" s="33"/>
      <c r="ID35" s="33"/>
      <c r="IE35" s="33"/>
      <c r="IF35" s="33"/>
      <c r="IG35" s="33"/>
      <c r="IH35" s="33"/>
    </row>
    <row r="36" spans="1:242" ht="15" customHeight="1">
      <c r="A36" s="65" t="s">
        <v>449</v>
      </c>
      <c r="B36" s="38" t="s">
        <v>450</v>
      </c>
      <c r="C36" s="38" t="s">
        <v>206</v>
      </c>
      <c r="D36" s="38" t="s">
        <v>451</v>
      </c>
      <c r="E36" s="38" t="s">
        <v>452</v>
      </c>
      <c r="F36" s="38" t="s">
        <v>334</v>
      </c>
      <c r="G36" s="38" t="s">
        <v>455</v>
      </c>
      <c r="H36" s="38" t="s">
        <v>453</v>
      </c>
      <c r="I36" s="38" t="s">
        <v>456</v>
      </c>
      <c r="J36" s="38" t="s">
        <v>11</v>
      </c>
      <c r="K36" s="38" t="s">
        <v>27</v>
      </c>
      <c r="L36" s="38" t="s">
        <v>10</v>
      </c>
      <c r="M36" s="38" t="s">
        <v>10</v>
      </c>
      <c r="N36" s="44" t="s">
        <v>10</v>
      </c>
      <c r="O36" s="43">
        <v>29</v>
      </c>
      <c r="P36" s="43">
        <f>Q36*O36/100</f>
        <v>22.561999999999998</v>
      </c>
      <c r="Q36" s="44">
        <v>77.8</v>
      </c>
      <c r="R36" s="42" t="s">
        <v>642</v>
      </c>
      <c r="IA36" s="33"/>
      <c r="IB36" s="33"/>
      <c r="IC36" s="33"/>
      <c r="ID36" s="33"/>
      <c r="IE36" s="33"/>
      <c r="IF36" s="33"/>
      <c r="IG36" s="33"/>
      <c r="IH36" s="33"/>
    </row>
    <row r="37" spans="1:242" ht="15" customHeight="1">
      <c r="A37" s="65" t="s">
        <v>457</v>
      </c>
      <c r="B37" s="41">
        <v>2016</v>
      </c>
      <c r="C37" s="38" t="s">
        <v>206</v>
      </c>
      <c r="D37" s="38" t="s">
        <v>458</v>
      </c>
      <c r="E37" s="38" t="s">
        <v>459</v>
      </c>
      <c r="F37" s="38" t="s">
        <v>9</v>
      </c>
      <c r="G37" s="38" t="s">
        <v>198</v>
      </c>
      <c r="H37" s="38" t="s">
        <v>312</v>
      </c>
      <c r="I37" s="38" t="s">
        <v>460</v>
      </c>
      <c r="J37" s="38" t="s">
        <v>11</v>
      </c>
      <c r="K37" s="38" t="s">
        <v>461</v>
      </c>
      <c r="L37" s="38" t="s">
        <v>10</v>
      </c>
      <c r="M37" s="38" t="s">
        <v>10</v>
      </c>
      <c r="N37" s="44" t="s">
        <v>10</v>
      </c>
      <c r="O37" s="43">
        <v>252</v>
      </c>
      <c r="P37" s="43">
        <v>81</v>
      </c>
      <c r="Q37" s="44">
        <f t="shared" ref="Q37:Q41" si="2">100*P37/O37</f>
        <v>32.142857142857146</v>
      </c>
      <c r="R37" s="41">
        <v>35</v>
      </c>
      <c r="IA37" s="33"/>
      <c r="IB37" s="33"/>
      <c r="IC37" s="33"/>
      <c r="ID37" s="33"/>
      <c r="IE37" s="33"/>
      <c r="IF37" s="33"/>
      <c r="IG37" s="33"/>
      <c r="IH37" s="33"/>
    </row>
    <row r="38" spans="1:242" ht="15" customHeight="1">
      <c r="A38" s="65" t="s">
        <v>457</v>
      </c>
      <c r="B38" s="41">
        <v>2016</v>
      </c>
      <c r="C38" s="38" t="s">
        <v>206</v>
      </c>
      <c r="D38" s="38" t="s">
        <v>458</v>
      </c>
      <c r="E38" s="38" t="s">
        <v>459</v>
      </c>
      <c r="F38" s="38" t="s">
        <v>9</v>
      </c>
      <c r="G38" s="38" t="s">
        <v>198</v>
      </c>
      <c r="H38" s="38" t="s">
        <v>312</v>
      </c>
      <c r="I38" s="38" t="s">
        <v>460</v>
      </c>
      <c r="J38" s="38" t="s">
        <v>11</v>
      </c>
      <c r="K38" s="38" t="s">
        <v>24</v>
      </c>
      <c r="L38" s="38" t="s">
        <v>10</v>
      </c>
      <c r="M38" s="38" t="s">
        <v>10</v>
      </c>
      <c r="N38" s="44" t="s">
        <v>10</v>
      </c>
      <c r="O38" s="43">
        <v>40</v>
      </c>
      <c r="P38" s="43">
        <v>17</v>
      </c>
      <c r="Q38" s="44">
        <f t="shared" si="2"/>
        <v>42.5</v>
      </c>
      <c r="R38" s="41">
        <v>35</v>
      </c>
      <c r="IA38" s="33"/>
      <c r="IB38" s="33"/>
      <c r="IC38" s="33"/>
      <c r="ID38" s="33"/>
      <c r="IE38" s="33"/>
      <c r="IF38" s="33"/>
      <c r="IG38" s="33"/>
      <c r="IH38" s="33"/>
    </row>
    <row r="39" spans="1:242" ht="15" customHeight="1">
      <c r="A39" s="65" t="s">
        <v>457</v>
      </c>
      <c r="B39" s="41">
        <v>2016</v>
      </c>
      <c r="C39" s="38" t="s">
        <v>206</v>
      </c>
      <c r="D39" s="38" t="s">
        <v>458</v>
      </c>
      <c r="E39" s="38" t="s">
        <v>459</v>
      </c>
      <c r="F39" s="38" t="s">
        <v>9</v>
      </c>
      <c r="G39" s="38" t="s">
        <v>198</v>
      </c>
      <c r="H39" s="38" t="s">
        <v>312</v>
      </c>
      <c r="I39" s="38" t="s">
        <v>460</v>
      </c>
      <c r="J39" s="38" t="s">
        <v>11</v>
      </c>
      <c r="K39" s="38" t="s">
        <v>25</v>
      </c>
      <c r="L39" s="38" t="s">
        <v>10</v>
      </c>
      <c r="M39" s="38" t="s">
        <v>10</v>
      </c>
      <c r="N39" s="44" t="s">
        <v>10</v>
      </c>
      <c r="O39" s="43">
        <v>86</v>
      </c>
      <c r="P39" s="43">
        <v>21</v>
      </c>
      <c r="Q39" s="44">
        <f t="shared" si="2"/>
        <v>24.418604651162791</v>
      </c>
      <c r="R39" s="41">
        <v>35</v>
      </c>
      <c r="IA39" s="33"/>
      <c r="IB39" s="33"/>
      <c r="IC39" s="33"/>
      <c r="ID39" s="33"/>
      <c r="IE39" s="33"/>
      <c r="IF39" s="33"/>
      <c r="IG39" s="33"/>
      <c r="IH39" s="33"/>
    </row>
    <row r="40" spans="1:242" ht="15" customHeight="1">
      <c r="A40" s="65" t="s">
        <v>457</v>
      </c>
      <c r="B40" s="41">
        <v>2016</v>
      </c>
      <c r="C40" s="38" t="s">
        <v>206</v>
      </c>
      <c r="D40" s="38" t="s">
        <v>458</v>
      </c>
      <c r="E40" s="38" t="s">
        <v>459</v>
      </c>
      <c r="F40" s="38" t="s">
        <v>9</v>
      </c>
      <c r="G40" s="38" t="s">
        <v>198</v>
      </c>
      <c r="H40" s="38" t="s">
        <v>312</v>
      </c>
      <c r="I40" s="38" t="s">
        <v>460</v>
      </c>
      <c r="J40" s="38" t="s">
        <v>11</v>
      </c>
      <c r="K40" s="38" t="s">
        <v>26</v>
      </c>
      <c r="L40" s="38" t="s">
        <v>10</v>
      </c>
      <c r="M40" s="38" t="s">
        <v>10</v>
      </c>
      <c r="N40" s="44" t="s">
        <v>10</v>
      </c>
      <c r="O40" s="43">
        <v>84</v>
      </c>
      <c r="P40" s="43">
        <v>30</v>
      </c>
      <c r="Q40" s="44">
        <f t="shared" si="2"/>
        <v>35.714285714285715</v>
      </c>
      <c r="R40" s="41">
        <v>35</v>
      </c>
      <c r="IA40" s="33"/>
      <c r="IB40" s="33"/>
      <c r="IC40" s="33"/>
      <c r="ID40" s="33"/>
      <c r="IE40" s="33"/>
      <c r="IF40" s="33"/>
      <c r="IG40" s="33"/>
      <c r="IH40" s="33"/>
    </row>
    <row r="41" spans="1:242" ht="15" customHeight="1">
      <c r="A41" s="65" t="s">
        <v>457</v>
      </c>
      <c r="B41" s="41">
        <v>2016</v>
      </c>
      <c r="C41" s="38" t="s">
        <v>206</v>
      </c>
      <c r="D41" s="38" t="s">
        <v>458</v>
      </c>
      <c r="E41" s="38" t="s">
        <v>459</v>
      </c>
      <c r="F41" s="38" t="s">
        <v>9</v>
      </c>
      <c r="G41" s="38" t="s">
        <v>198</v>
      </c>
      <c r="H41" s="38" t="s">
        <v>312</v>
      </c>
      <c r="I41" s="38" t="s">
        <v>460</v>
      </c>
      <c r="J41" s="38" t="s">
        <v>11</v>
      </c>
      <c r="K41" s="38" t="s">
        <v>462</v>
      </c>
      <c r="L41" s="38" t="s">
        <v>10</v>
      </c>
      <c r="M41" s="38" t="s">
        <v>10</v>
      </c>
      <c r="N41" s="44" t="s">
        <v>10</v>
      </c>
      <c r="O41" s="43">
        <v>42</v>
      </c>
      <c r="P41" s="43">
        <v>13</v>
      </c>
      <c r="Q41" s="44">
        <f t="shared" si="2"/>
        <v>30.952380952380953</v>
      </c>
      <c r="R41" s="41">
        <v>35</v>
      </c>
      <c r="IA41" s="33"/>
      <c r="IB41" s="33"/>
      <c r="IC41" s="33"/>
      <c r="ID41" s="33"/>
      <c r="IE41" s="33"/>
      <c r="IF41" s="33"/>
      <c r="IG41" s="33"/>
      <c r="IH41" s="33"/>
    </row>
    <row r="42" spans="1:242" ht="15" customHeight="1">
      <c r="A42" s="65" t="s">
        <v>463</v>
      </c>
      <c r="B42" s="41">
        <v>2015</v>
      </c>
      <c r="C42" s="38" t="s">
        <v>206</v>
      </c>
      <c r="D42" s="38" t="s">
        <v>451</v>
      </c>
      <c r="E42" s="38" t="s">
        <v>464</v>
      </c>
      <c r="F42" s="38" t="s">
        <v>9</v>
      </c>
      <c r="G42" s="41">
        <v>2003</v>
      </c>
      <c r="H42" s="42" t="s">
        <v>465</v>
      </c>
      <c r="I42" s="38" t="s">
        <v>466</v>
      </c>
      <c r="J42" s="38" t="s">
        <v>16</v>
      </c>
      <c r="K42" s="38" t="s">
        <v>467</v>
      </c>
      <c r="L42" s="38" t="s">
        <v>10</v>
      </c>
      <c r="M42" s="38" t="s">
        <v>10</v>
      </c>
      <c r="N42" s="44" t="s">
        <v>10</v>
      </c>
      <c r="O42" s="43">
        <v>89</v>
      </c>
      <c r="P42" s="43">
        <v>13</v>
      </c>
      <c r="Q42" s="44">
        <v>14.4</v>
      </c>
      <c r="R42" s="41">
        <v>36</v>
      </c>
      <c r="IA42" s="33"/>
      <c r="IB42" s="33"/>
      <c r="IC42" s="33"/>
      <c r="ID42" s="33"/>
      <c r="IE42" s="33"/>
      <c r="IF42" s="33"/>
      <c r="IG42" s="33"/>
      <c r="IH42" s="33"/>
    </row>
    <row r="43" spans="1:242" ht="15" customHeight="1">
      <c r="A43" s="65" t="s">
        <v>468</v>
      </c>
      <c r="B43" s="41">
        <v>2018</v>
      </c>
      <c r="C43" s="38" t="s">
        <v>206</v>
      </c>
      <c r="D43" s="38" t="s">
        <v>469</v>
      </c>
      <c r="E43" s="38" t="s">
        <v>43</v>
      </c>
      <c r="F43" s="38" t="s">
        <v>335</v>
      </c>
      <c r="G43" s="38" t="s">
        <v>387</v>
      </c>
      <c r="H43" s="38" t="s">
        <v>22</v>
      </c>
      <c r="I43" s="38" t="s">
        <v>447</v>
      </c>
      <c r="J43" s="38" t="s">
        <v>16</v>
      </c>
      <c r="K43" s="38" t="s">
        <v>470</v>
      </c>
      <c r="L43" s="38" t="s">
        <v>10</v>
      </c>
      <c r="M43" s="38" t="s">
        <v>10</v>
      </c>
      <c r="N43" s="44" t="s">
        <v>10</v>
      </c>
      <c r="O43" s="41">
        <f t="shared" ref="O43:P48" si="3">O49+O55</f>
        <v>29762</v>
      </c>
      <c r="P43" s="43">
        <f t="shared" si="3"/>
        <v>9938</v>
      </c>
      <c r="Q43" s="44">
        <f t="shared" ref="Q43:Q60" si="4">100*P43/O43</f>
        <v>33.391573146965932</v>
      </c>
      <c r="R43" s="41">
        <v>37</v>
      </c>
      <c r="IA43" s="33"/>
      <c r="IB43" s="33"/>
      <c r="IC43" s="33"/>
      <c r="ID43" s="33"/>
      <c r="IE43" s="33"/>
      <c r="IF43" s="33"/>
      <c r="IG43" s="33"/>
      <c r="IH43" s="33"/>
    </row>
    <row r="44" spans="1:242" ht="15" customHeight="1">
      <c r="A44" s="65" t="s">
        <v>468</v>
      </c>
      <c r="B44" s="41">
        <v>2018</v>
      </c>
      <c r="C44" s="38" t="s">
        <v>206</v>
      </c>
      <c r="D44" s="38" t="s">
        <v>469</v>
      </c>
      <c r="E44" s="38" t="s">
        <v>43</v>
      </c>
      <c r="F44" s="38" t="s">
        <v>335</v>
      </c>
      <c r="G44" s="38" t="s">
        <v>387</v>
      </c>
      <c r="H44" s="38" t="s">
        <v>22</v>
      </c>
      <c r="I44" s="38" t="s">
        <v>447</v>
      </c>
      <c r="J44" s="38" t="s">
        <v>16</v>
      </c>
      <c r="K44" s="38" t="s">
        <v>35</v>
      </c>
      <c r="L44" s="38" t="s">
        <v>10</v>
      </c>
      <c r="M44" s="38" t="s">
        <v>10</v>
      </c>
      <c r="N44" s="44" t="s">
        <v>10</v>
      </c>
      <c r="O44" s="41">
        <f t="shared" si="3"/>
        <v>14704</v>
      </c>
      <c r="P44" s="43">
        <f t="shared" si="3"/>
        <v>3601</v>
      </c>
      <c r="Q44" s="44">
        <f t="shared" si="4"/>
        <v>24.489934711643091</v>
      </c>
      <c r="R44" s="41">
        <v>37</v>
      </c>
      <c r="IA44" s="33"/>
      <c r="IB44" s="33"/>
      <c r="IC44" s="33"/>
      <c r="ID44" s="33"/>
      <c r="IE44" s="33"/>
      <c r="IF44" s="33"/>
      <c r="IG44" s="33"/>
      <c r="IH44" s="33"/>
    </row>
    <row r="45" spans="1:242" ht="15" customHeight="1">
      <c r="A45" s="65" t="s">
        <v>468</v>
      </c>
      <c r="B45" s="41">
        <v>2018</v>
      </c>
      <c r="C45" s="38" t="s">
        <v>206</v>
      </c>
      <c r="D45" s="38" t="s">
        <v>469</v>
      </c>
      <c r="E45" s="38" t="s">
        <v>43</v>
      </c>
      <c r="F45" s="38" t="s">
        <v>335</v>
      </c>
      <c r="G45" s="38" t="s">
        <v>387</v>
      </c>
      <c r="H45" s="38" t="s">
        <v>22</v>
      </c>
      <c r="I45" s="38" t="s">
        <v>447</v>
      </c>
      <c r="J45" s="38" t="s">
        <v>16</v>
      </c>
      <c r="K45" s="38" t="s">
        <v>26</v>
      </c>
      <c r="L45" s="38" t="s">
        <v>10</v>
      </c>
      <c r="M45" s="38" t="s">
        <v>10</v>
      </c>
      <c r="N45" s="44" t="s">
        <v>10</v>
      </c>
      <c r="O45" s="41">
        <f t="shared" si="3"/>
        <v>7960</v>
      </c>
      <c r="P45" s="43">
        <f t="shared" si="3"/>
        <v>3910</v>
      </c>
      <c r="Q45" s="44">
        <f t="shared" si="4"/>
        <v>49.120603015075375</v>
      </c>
      <c r="R45" s="41">
        <v>37</v>
      </c>
      <c r="IA45" s="33"/>
      <c r="IB45" s="33"/>
      <c r="IC45" s="33"/>
      <c r="ID45" s="33"/>
      <c r="IE45" s="33"/>
      <c r="IF45" s="33"/>
      <c r="IG45" s="33"/>
      <c r="IH45" s="33"/>
    </row>
    <row r="46" spans="1:242" ht="15" customHeight="1">
      <c r="A46" s="65" t="s">
        <v>468</v>
      </c>
      <c r="B46" s="41">
        <v>2018</v>
      </c>
      <c r="C46" s="38" t="s">
        <v>206</v>
      </c>
      <c r="D46" s="38" t="s">
        <v>469</v>
      </c>
      <c r="E46" s="38" t="s">
        <v>43</v>
      </c>
      <c r="F46" s="38" t="s">
        <v>335</v>
      </c>
      <c r="G46" s="38" t="s">
        <v>387</v>
      </c>
      <c r="H46" s="38" t="s">
        <v>22</v>
      </c>
      <c r="I46" s="38" t="s">
        <v>447</v>
      </c>
      <c r="J46" s="38" t="s">
        <v>16</v>
      </c>
      <c r="K46" s="38" t="s">
        <v>27</v>
      </c>
      <c r="L46" s="38" t="s">
        <v>10</v>
      </c>
      <c r="M46" s="38" t="s">
        <v>10</v>
      </c>
      <c r="N46" s="44" t="s">
        <v>10</v>
      </c>
      <c r="O46" s="41">
        <f t="shared" si="3"/>
        <v>6257</v>
      </c>
      <c r="P46" s="43">
        <f t="shared" si="3"/>
        <v>3815</v>
      </c>
      <c r="Q46" s="44">
        <f t="shared" si="4"/>
        <v>60.971711682915135</v>
      </c>
      <c r="R46" s="41">
        <v>37</v>
      </c>
      <c r="IA46" s="33"/>
      <c r="IB46" s="33"/>
      <c r="IC46" s="33"/>
      <c r="ID46" s="33"/>
      <c r="IE46" s="33"/>
      <c r="IF46" s="33"/>
      <c r="IG46" s="33"/>
      <c r="IH46" s="33"/>
    </row>
    <row r="47" spans="1:242" ht="15" customHeight="1">
      <c r="A47" s="65" t="s">
        <v>468</v>
      </c>
      <c r="B47" s="41">
        <v>2018</v>
      </c>
      <c r="C47" s="38" t="s">
        <v>206</v>
      </c>
      <c r="D47" s="38" t="s">
        <v>469</v>
      </c>
      <c r="E47" s="38" t="s">
        <v>43</v>
      </c>
      <c r="F47" s="38" t="s">
        <v>335</v>
      </c>
      <c r="G47" s="38" t="s">
        <v>387</v>
      </c>
      <c r="H47" s="38" t="s">
        <v>22</v>
      </c>
      <c r="I47" s="38" t="s">
        <v>447</v>
      </c>
      <c r="J47" s="38" t="s">
        <v>16</v>
      </c>
      <c r="K47" s="38" t="s">
        <v>28</v>
      </c>
      <c r="L47" s="38" t="s">
        <v>10</v>
      </c>
      <c r="M47" s="38" t="s">
        <v>10</v>
      </c>
      <c r="N47" s="44" t="s">
        <v>10</v>
      </c>
      <c r="O47" s="41">
        <f t="shared" si="3"/>
        <v>4560</v>
      </c>
      <c r="P47" s="43">
        <f t="shared" si="3"/>
        <v>3147</v>
      </c>
      <c r="Q47" s="44">
        <f t="shared" si="4"/>
        <v>69.013157894736835</v>
      </c>
      <c r="R47" s="41">
        <v>37</v>
      </c>
      <c r="IA47" s="33"/>
      <c r="IB47" s="33"/>
      <c r="IC47" s="33"/>
      <c r="ID47" s="33"/>
      <c r="IE47" s="33"/>
      <c r="IF47" s="33"/>
      <c r="IG47" s="33"/>
      <c r="IH47" s="33"/>
    </row>
    <row r="48" spans="1:242" ht="15" customHeight="1">
      <c r="A48" s="65" t="s">
        <v>468</v>
      </c>
      <c r="B48" s="41">
        <v>2018</v>
      </c>
      <c r="C48" s="38" t="s">
        <v>206</v>
      </c>
      <c r="D48" s="38" t="s">
        <v>469</v>
      </c>
      <c r="E48" s="38" t="s">
        <v>43</v>
      </c>
      <c r="F48" s="38" t="s">
        <v>335</v>
      </c>
      <c r="G48" s="38" t="s">
        <v>387</v>
      </c>
      <c r="H48" s="38" t="s">
        <v>22</v>
      </c>
      <c r="I48" s="38" t="s">
        <v>447</v>
      </c>
      <c r="J48" s="38" t="s">
        <v>16</v>
      </c>
      <c r="K48" s="38" t="s">
        <v>72</v>
      </c>
      <c r="L48" s="38" t="s">
        <v>10</v>
      </c>
      <c r="M48" s="38" t="s">
        <v>10</v>
      </c>
      <c r="N48" s="44" t="s">
        <v>10</v>
      </c>
      <c r="O48" s="41">
        <f t="shared" si="3"/>
        <v>3476</v>
      </c>
      <c r="P48" s="43">
        <f t="shared" si="3"/>
        <v>2362</v>
      </c>
      <c r="Q48" s="44">
        <f t="shared" si="4"/>
        <v>67.951668584579977</v>
      </c>
      <c r="R48" s="41">
        <v>37</v>
      </c>
      <c r="IA48" s="33"/>
      <c r="IB48" s="33"/>
      <c r="IC48" s="33"/>
      <c r="ID48" s="33"/>
      <c r="IE48" s="33"/>
      <c r="IF48" s="33"/>
      <c r="IG48" s="33"/>
      <c r="IH48" s="33"/>
    </row>
    <row r="49" spans="1:242" ht="15" customHeight="1">
      <c r="A49" s="65" t="s">
        <v>468</v>
      </c>
      <c r="B49" s="41">
        <v>2018</v>
      </c>
      <c r="C49" s="38" t="s">
        <v>206</v>
      </c>
      <c r="D49" s="38" t="s">
        <v>469</v>
      </c>
      <c r="E49" s="38" t="s">
        <v>43</v>
      </c>
      <c r="F49" s="38" t="s">
        <v>335</v>
      </c>
      <c r="G49" s="38" t="s">
        <v>387</v>
      </c>
      <c r="H49" s="38" t="s">
        <v>22</v>
      </c>
      <c r="I49" s="38" t="s">
        <v>447</v>
      </c>
      <c r="J49" s="38" t="s">
        <v>23</v>
      </c>
      <c r="K49" s="38" t="s">
        <v>470</v>
      </c>
      <c r="L49" s="38" t="s">
        <v>10</v>
      </c>
      <c r="M49" s="38" t="s">
        <v>10</v>
      </c>
      <c r="N49" s="44" t="s">
        <v>10</v>
      </c>
      <c r="O49" s="41">
        <f>4475+2148+1605+1225+1027-909</f>
        <v>9571</v>
      </c>
      <c r="P49" s="43">
        <f>2629-909</f>
        <v>1720</v>
      </c>
      <c r="Q49" s="44">
        <f t="shared" si="4"/>
        <v>17.970953923309999</v>
      </c>
      <c r="R49" s="41">
        <v>37</v>
      </c>
      <c r="IA49" s="33"/>
      <c r="IB49" s="33"/>
      <c r="IC49" s="33"/>
      <c r="ID49" s="33"/>
      <c r="IE49" s="33"/>
      <c r="IF49" s="33"/>
      <c r="IG49" s="33"/>
      <c r="IH49" s="33"/>
    </row>
    <row r="50" spans="1:242" ht="15" customHeight="1">
      <c r="A50" s="65" t="s">
        <v>468</v>
      </c>
      <c r="B50" s="41">
        <v>2018</v>
      </c>
      <c r="C50" s="38" t="s">
        <v>206</v>
      </c>
      <c r="D50" s="38" t="s">
        <v>469</v>
      </c>
      <c r="E50" s="38" t="s">
        <v>43</v>
      </c>
      <c r="F50" s="38" t="s">
        <v>335</v>
      </c>
      <c r="G50" s="38" t="s">
        <v>387</v>
      </c>
      <c r="H50" s="38" t="s">
        <v>22</v>
      </c>
      <c r="I50" s="38" t="s">
        <v>447</v>
      </c>
      <c r="J50" s="38" t="s">
        <v>23</v>
      </c>
      <c r="K50" s="38" t="s">
        <v>35</v>
      </c>
      <c r="L50" s="38" t="s">
        <v>10</v>
      </c>
      <c r="M50" s="38" t="s">
        <v>10</v>
      </c>
      <c r="N50" s="44" t="s">
        <v>10</v>
      </c>
      <c r="O50" s="41">
        <v>4775</v>
      </c>
      <c r="P50" s="43">
        <v>372</v>
      </c>
      <c r="Q50" s="44">
        <f t="shared" si="4"/>
        <v>7.7905759162303667</v>
      </c>
      <c r="R50" s="41">
        <v>37</v>
      </c>
      <c r="IA50" s="33"/>
      <c r="IB50" s="33"/>
      <c r="IC50" s="33"/>
      <c r="ID50" s="33"/>
      <c r="IE50" s="33"/>
      <c r="IF50" s="33"/>
      <c r="IG50" s="33"/>
      <c r="IH50" s="33"/>
    </row>
    <row r="51" spans="1:242" ht="15" customHeight="1">
      <c r="A51" s="65" t="s">
        <v>468</v>
      </c>
      <c r="B51" s="41">
        <v>2018</v>
      </c>
      <c r="C51" s="38" t="s">
        <v>206</v>
      </c>
      <c r="D51" s="38" t="s">
        <v>469</v>
      </c>
      <c r="E51" s="38" t="s">
        <v>43</v>
      </c>
      <c r="F51" s="38" t="s">
        <v>335</v>
      </c>
      <c r="G51" s="38" t="s">
        <v>387</v>
      </c>
      <c r="H51" s="38" t="s">
        <v>22</v>
      </c>
      <c r="I51" s="38" t="s">
        <v>447</v>
      </c>
      <c r="J51" s="38" t="s">
        <v>23</v>
      </c>
      <c r="K51" s="38" t="s">
        <v>26</v>
      </c>
      <c r="L51" s="38" t="s">
        <v>10</v>
      </c>
      <c r="M51" s="38" t="s">
        <v>10</v>
      </c>
      <c r="N51" s="44" t="s">
        <v>10</v>
      </c>
      <c r="O51" s="41">
        <v>2148</v>
      </c>
      <c r="P51" s="43">
        <v>504</v>
      </c>
      <c r="Q51" s="44">
        <f t="shared" si="4"/>
        <v>23.463687150837988</v>
      </c>
      <c r="R51" s="41">
        <v>37</v>
      </c>
      <c r="IA51" s="33"/>
      <c r="IB51" s="33"/>
      <c r="IC51" s="33"/>
      <c r="ID51" s="33"/>
      <c r="IE51" s="33"/>
      <c r="IF51" s="33"/>
      <c r="IG51" s="33"/>
      <c r="IH51" s="33"/>
    </row>
    <row r="52" spans="1:242" ht="15" customHeight="1">
      <c r="A52" s="65" t="s">
        <v>468</v>
      </c>
      <c r="B52" s="41">
        <v>2018</v>
      </c>
      <c r="C52" s="38" t="s">
        <v>206</v>
      </c>
      <c r="D52" s="38" t="s">
        <v>469</v>
      </c>
      <c r="E52" s="38" t="s">
        <v>43</v>
      </c>
      <c r="F52" s="38" t="s">
        <v>335</v>
      </c>
      <c r="G52" s="38" t="s">
        <v>387</v>
      </c>
      <c r="H52" s="38" t="s">
        <v>22</v>
      </c>
      <c r="I52" s="38" t="s">
        <v>447</v>
      </c>
      <c r="J52" s="38" t="s">
        <v>23</v>
      </c>
      <c r="K52" s="38" t="s">
        <v>27</v>
      </c>
      <c r="L52" s="38" t="s">
        <v>10</v>
      </c>
      <c r="M52" s="38" t="s">
        <v>10</v>
      </c>
      <c r="N52" s="44" t="s">
        <v>10</v>
      </c>
      <c r="O52" s="41">
        <v>1605</v>
      </c>
      <c r="P52" s="43">
        <v>628</v>
      </c>
      <c r="Q52" s="44">
        <f t="shared" si="4"/>
        <v>39.127725856697822</v>
      </c>
      <c r="R52" s="41">
        <v>37</v>
      </c>
      <c r="IA52" s="33"/>
      <c r="IB52" s="33"/>
      <c r="IC52" s="33"/>
      <c r="ID52" s="33"/>
      <c r="IE52" s="33"/>
      <c r="IF52" s="33"/>
      <c r="IG52" s="33"/>
      <c r="IH52" s="33"/>
    </row>
    <row r="53" spans="1:242" ht="15" customHeight="1">
      <c r="A53" s="65" t="s">
        <v>468</v>
      </c>
      <c r="B53" s="41">
        <v>2018</v>
      </c>
      <c r="C53" s="38" t="s">
        <v>206</v>
      </c>
      <c r="D53" s="38" t="s">
        <v>469</v>
      </c>
      <c r="E53" s="38" t="s">
        <v>43</v>
      </c>
      <c r="F53" s="38" t="s">
        <v>335</v>
      </c>
      <c r="G53" s="38" t="s">
        <v>387</v>
      </c>
      <c r="H53" s="38" t="s">
        <v>22</v>
      </c>
      <c r="I53" s="38" t="s">
        <v>447</v>
      </c>
      <c r="J53" s="38" t="s">
        <v>23</v>
      </c>
      <c r="K53" s="38" t="s">
        <v>28</v>
      </c>
      <c r="L53" s="38" t="s">
        <v>10</v>
      </c>
      <c r="M53" s="38" t="s">
        <v>10</v>
      </c>
      <c r="N53" s="44" t="s">
        <v>10</v>
      </c>
      <c r="O53" s="41">
        <v>1225</v>
      </c>
      <c r="P53" s="43">
        <v>599</v>
      </c>
      <c r="Q53" s="44">
        <f t="shared" si="4"/>
        <v>48.897959183673471</v>
      </c>
      <c r="R53" s="41">
        <v>37</v>
      </c>
      <c r="IA53" s="33"/>
      <c r="IB53" s="33"/>
      <c r="IC53" s="33"/>
      <c r="ID53" s="33"/>
      <c r="IE53" s="33"/>
      <c r="IF53" s="33"/>
      <c r="IG53" s="33"/>
      <c r="IH53" s="33"/>
    </row>
    <row r="54" spans="1:242" ht="15" customHeight="1">
      <c r="A54" s="65" t="s">
        <v>468</v>
      </c>
      <c r="B54" s="41">
        <v>2018</v>
      </c>
      <c r="C54" s="38" t="s">
        <v>206</v>
      </c>
      <c r="D54" s="38" t="s">
        <v>469</v>
      </c>
      <c r="E54" s="38" t="s">
        <v>43</v>
      </c>
      <c r="F54" s="38" t="s">
        <v>335</v>
      </c>
      <c r="G54" s="38" t="s">
        <v>387</v>
      </c>
      <c r="H54" s="38" t="s">
        <v>22</v>
      </c>
      <c r="I54" s="38" t="s">
        <v>447</v>
      </c>
      <c r="J54" s="38" t="s">
        <v>23</v>
      </c>
      <c r="K54" s="38" t="s">
        <v>72</v>
      </c>
      <c r="L54" s="38" t="s">
        <v>10</v>
      </c>
      <c r="M54" s="38" t="s">
        <v>10</v>
      </c>
      <c r="N54" s="44" t="s">
        <v>10</v>
      </c>
      <c r="O54" s="41">
        <v>1027</v>
      </c>
      <c r="P54" s="43">
        <v>527</v>
      </c>
      <c r="Q54" s="44">
        <f t="shared" si="4"/>
        <v>51.314508276533594</v>
      </c>
      <c r="R54" s="41">
        <v>37</v>
      </c>
      <c r="IA54" s="33"/>
      <c r="IB54" s="33"/>
      <c r="IC54" s="33"/>
      <c r="ID54" s="33"/>
      <c r="IE54" s="33"/>
      <c r="IF54" s="33"/>
      <c r="IG54" s="33"/>
      <c r="IH54" s="33"/>
    </row>
    <row r="55" spans="1:242" ht="15" customHeight="1">
      <c r="A55" s="65" t="s">
        <v>468</v>
      </c>
      <c r="B55" s="41">
        <v>2018</v>
      </c>
      <c r="C55" s="38" t="s">
        <v>206</v>
      </c>
      <c r="D55" s="38" t="s">
        <v>469</v>
      </c>
      <c r="E55" s="38" t="s">
        <v>43</v>
      </c>
      <c r="F55" s="38" t="s">
        <v>335</v>
      </c>
      <c r="G55" s="38" t="s">
        <v>387</v>
      </c>
      <c r="H55" s="38" t="s">
        <v>22</v>
      </c>
      <c r="I55" s="38" t="s">
        <v>447</v>
      </c>
      <c r="J55" s="38" t="s">
        <v>11</v>
      </c>
      <c r="K55" s="38" t="s">
        <v>470</v>
      </c>
      <c r="L55" s="38" t="s">
        <v>10</v>
      </c>
      <c r="M55" s="38" t="s">
        <v>10</v>
      </c>
      <c r="N55" s="44" t="s">
        <v>10</v>
      </c>
      <c r="O55" s="41">
        <f>9929+5812+4652+3335+2449-5986</f>
        <v>20191</v>
      </c>
      <c r="P55" s="43">
        <f>14204-5986</f>
        <v>8218</v>
      </c>
      <c r="Q55" s="44">
        <f t="shared" si="4"/>
        <v>40.701302560546779</v>
      </c>
      <c r="R55" s="41">
        <v>37</v>
      </c>
      <c r="IA55" s="33"/>
      <c r="IB55" s="33"/>
      <c r="IC55" s="33"/>
      <c r="ID55" s="33"/>
      <c r="IE55" s="33"/>
      <c r="IF55" s="33"/>
      <c r="IG55" s="33"/>
      <c r="IH55" s="33"/>
    </row>
    <row r="56" spans="1:242" ht="15" customHeight="1">
      <c r="A56" s="65" t="s">
        <v>468</v>
      </c>
      <c r="B56" s="41">
        <v>2018</v>
      </c>
      <c r="C56" s="38" t="s">
        <v>206</v>
      </c>
      <c r="D56" s="38" t="s">
        <v>469</v>
      </c>
      <c r="E56" s="38" t="s">
        <v>43</v>
      </c>
      <c r="F56" s="38" t="s">
        <v>335</v>
      </c>
      <c r="G56" s="38" t="s">
        <v>387</v>
      </c>
      <c r="H56" s="38" t="s">
        <v>22</v>
      </c>
      <c r="I56" s="38" t="s">
        <v>447</v>
      </c>
      <c r="J56" s="38" t="s">
        <v>11</v>
      </c>
      <c r="K56" s="38" t="s">
        <v>35</v>
      </c>
      <c r="L56" s="38" t="s">
        <v>10</v>
      </c>
      <c r="M56" s="38" t="s">
        <v>10</v>
      </c>
      <c r="N56" s="44" t="s">
        <v>10</v>
      </c>
      <c r="O56" s="41">
        <v>9929</v>
      </c>
      <c r="P56" s="43">
        <v>3229</v>
      </c>
      <c r="Q56" s="44">
        <f t="shared" si="4"/>
        <v>32.52089837848726</v>
      </c>
      <c r="R56" s="41">
        <v>37</v>
      </c>
      <c r="IA56" s="33"/>
      <c r="IB56" s="33"/>
      <c r="IC56" s="33"/>
      <c r="ID56" s="33"/>
      <c r="IE56" s="33"/>
      <c r="IF56" s="33"/>
      <c r="IG56" s="33"/>
      <c r="IH56" s="33"/>
    </row>
    <row r="57" spans="1:242" ht="15" customHeight="1">
      <c r="A57" s="65" t="s">
        <v>468</v>
      </c>
      <c r="B57" s="41">
        <v>2018</v>
      </c>
      <c r="C57" s="38" t="s">
        <v>206</v>
      </c>
      <c r="D57" s="38" t="s">
        <v>469</v>
      </c>
      <c r="E57" s="38" t="s">
        <v>43</v>
      </c>
      <c r="F57" s="38" t="s">
        <v>335</v>
      </c>
      <c r="G57" s="38" t="s">
        <v>387</v>
      </c>
      <c r="H57" s="38" t="s">
        <v>22</v>
      </c>
      <c r="I57" s="38" t="s">
        <v>447</v>
      </c>
      <c r="J57" s="38" t="s">
        <v>11</v>
      </c>
      <c r="K57" s="38" t="s">
        <v>26</v>
      </c>
      <c r="L57" s="38" t="s">
        <v>10</v>
      </c>
      <c r="M57" s="38" t="s">
        <v>10</v>
      </c>
      <c r="N57" s="44" t="s">
        <v>10</v>
      </c>
      <c r="O57" s="41">
        <v>5812</v>
      </c>
      <c r="P57" s="43">
        <v>3406</v>
      </c>
      <c r="Q57" s="44">
        <f t="shared" si="4"/>
        <v>58.602890571231931</v>
      </c>
      <c r="R57" s="41">
        <v>37</v>
      </c>
      <c r="IA57" s="33"/>
      <c r="IB57" s="33"/>
      <c r="IC57" s="33"/>
      <c r="ID57" s="33"/>
      <c r="IE57" s="33"/>
      <c r="IF57" s="33"/>
      <c r="IG57" s="33"/>
      <c r="IH57" s="33"/>
    </row>
    <row r="58" spans="1:242" ht="15" customHeight="1">
      <c r="A58" s="65" t="s">
        <v>468</v>
      </c>
      <c r="B58" s="41">
        <v>2018</v>
      </c>
      <c r="C58" s="38" t="s">
        <v>206</v>
      </c>
      <c r="D58" s="38" t="s">
        <v>469</v>
      </c>
      <c r="E58" s="38" t="s">
        <v>43</v>
      </c>
      <c r="F58" s="38" t="s">
        <v>335</v>
      </c>
      <c r="G58" s="38" t="s">
        <v>387</v>
      </c>
      <c r="H58" s="38" t="s">
        <v>22</v>
      </c>
      <c r="I58" s="38" t="s">
        <v>447</v>
      </c>
      <c r="J58" s="38" t="s">
        <v>11</v>
      </c>
      <c r="K58" s="38" t="s">
        <v>27</v>
      </c>
      <c r="L58" s="38" t="s">
        <v>10</v>
      </c>
      <c r="M58" s="38" t="s">
        <v>10</v>
      </c>
      <c r="N58" s="44" t="s">
        <v>10</v>
      </c>
      <c r="O58" s="41">
        <v>4652</v>
      </c>
      <c r="P58" s="43">
        <v>3187</v>
      </c>
      <c r="Q58" s="44">
        <f t="shared" si="4"/>
        <v>68.508168529664658</v>
      </c>
      <c r="R58" s="41">
        <v>37</v>
      </c>
      <c r="IA58" s="33"/>
      <c r="IB58" s="33"/>
      <c r="IC58" s="33"/>
      <c r="ID58" s="33"/>
      <c r="IE58" s="33"/>
      <c r="IF58" s="33"/>
      <c r="IG58" s="33"/>
      <c r="IH58" s="33"/>
    </row>
    <row r="59" spans="1:242" ht="15" customHeight="1">
      <c r="A59" s="65" t="s">
        <v>468</v>
      </c>
      <c r="B59" s="41">
        <v>2018</v>
      </c>
      <c r="C59" s="38" t="s">
        <v>206</v>
      </c>
      <c r="D59" s="38" t="s">
        <v>469</v>
      </c>
      <c r="E59" s="38" t="s">
        <v>43</v>
      </c>
      <c r="F59" s="38" t="s">
        <v>335</v>
      </c>
      <c r="G59" s="38" t="s">
        <v>387</v>
      </c>
      <c r="H59" s="38" t="s">
        <v>22</v>
      </c>
      <c r="I59" s="38" t="s">
        <v>447</v>
      </c>
      <c r="J59" s="38" t="s">
        <v>11</v>
      </c>
      <c r="K59" s="38" t="s">
        <v>28</v>
      </c>
      <c r="L59" s="38" t="s">
        <v>10</v>
      </c>
      <c r="M59" s="38" t="s">
        <v>10</v>
      </c>
      <c r="N59" s="44" t="s">
        <v>10</v>
      </c>
      <c r="O59" s="41">
        <v>3335</v>
      </c>
      <c r="P59" s="43">
        <v>2548</v>
      </c>
      <c r="Q59" s="44">
        <f t="shared" si="4"/>
        <v>76.401799100449779</v>
      </c>
      <c r="R59" s="41">
        <v>37</v>
      </c>
      <c r="IA59" s="33"/>
      <c r="IB59" s="33"/>
      <c r="IC59" s="33"/>
      <c r="ID59" s="33"/>
      <c r="IE59" s="33"/>
      <c r="IF59" s="33"/>
      <c r="IG59" s="33"/>
      <c r="IH59" s="33"/>
    </row>
    <row r="60" spans="1:242" ht="15" customHeight="1">
      <c r="A60" s="65" t="s">
        <v>468</v>
      </c>
      <c r="B60" s="41">
        <v>2018</v>
      </c>
      <c r="C60" s="38" t="s">
        <v>206</v>
      </c>
      <c r="D60" s="38" t="s">
        <v>469</v>
      </c>
      <c r="E60" s="38" t="s">
        <v>43</v>
      </c>
      <c r="F60" s="38" t="s">
        <v>335</v>
      </c>
      <c r="G60" s="38" t="s">
        <v>387</v>
      </c>
      <c r="H60" s="38" t="s">
        <v>22</v>
      </c>
      <c r="I60" s="38" t="s">
        <v>447</v>
      </c>
      <c r="J60" s="38" t="s">
        <v>11</v>
      </c>
      <c r="K60" s="38" t="s">
        <v>72</v>
      </c>
      <c r="L60" s="38" t="s">
        <v>10</v>
      </c>
      <c r="M60" s="38" t="s">
        <v>10</v>
      </c>
      <c r="N60" s="44" t="s">
        <v>10</v>
      </c>
      <c r="O60" s="41">
        <v>2449</v>
      </c>
      <c r="P60" s="43">
        <v>1835</v>
      </c>
      <c r="Q60" s="44">
        <f t="shared" si="4"/>
        <v>74.928542262147815</v>
      </c>
      <c r="R60" s="41">
        <v>37</v>
      </c>
      <c r="IA60" s="33"/>
      <c r="IB60" s="33"/>
      <c r="IC60" s="33"/>
      <c r="ID60" s="33"/>
      <c r="IE60" s="33"/>
      <c r="IF60" s="33"/>
      <c r="IG60" s="33"/>
      <c r="IH60" s="33"/>
    </row>
    <row r="61" spans="1:242" ht="15" customHeight="1">
      <c r="A61" s="65" t="s">
        <v>475</v>
      </c>
      <c r="B61" s="41">
        <v>2015</v>
      </c>
      <c r="C61" s="38" t="s">
        <v>206</v>
      </c>
      <c r="D61" s="38" t="s">
        <v>411</v>
      </c>
      <c r="E61" s="38" t="s">
        <v>9</v>
      </c>
      <c r="F61" s="38" t="s">
        <v>9</v>
      </c>
      <c r="G61" s="38" t="s">
        <v>9</v>
      </c>
      <c r="H61" s="38" t="s">
        <v>476</v>
      </c>
      <c r="I61" s="38" t="s">
        <v>477</v>
      </c>
      <c r="J61" s="38" t="s">
        <v>11</v>
      </c>
      <c r="K61" s="38" t="s">
        <v>478</v>
      </c>
      <c r="L61" s="38" t="s">
        <v>10</v>
      </c>
      <c r="M61" s="38" t="s">
        <v>10</v>
      </c>
      <c r="N61" s="44" t="s">
        <v>10</v>
      </c>
      <c r="O61" s="43">
        <f>50+96+117</f>
        <v>263</v>
      </c>
      <c r="P61" s="43">
        <f>47+117</f>
        <v>164</v>
      </c>
      <c r="Q61" s="44">
        <f>P61*100/O61</f>
        <v>62.357414448669203</v>
      </c>
      <c r="R61" s="41">
        <v>38</v>
      </c>
      <c r="IA61" s="33"/>
      <c r="IB61" s="33"/>
      <c r="IC61" s="33"/>
      <c r="ID61" s="33"/>
      <c r="IE61" s="33"/>
      <c r="IF61" s="33"/>
      <c r="IG61" s="33"/>
      <c r="IH61" s="33"/>
    </row>
    <row r="62" spans="1:242" ht="15" customHeight="1">
      <c r="A62" s="65" t="s">
        <v>479</v>
      </c>
      <c r="B62" s="41">
        <v>2016</v>
      </c>
      <c r="C62" s="38" t="s">
        <v>206</v>
      </c>
      <c r="D62" s="38" t="s">
        <v>411</v>
      </c>
      <c r="E62" s="38" t="s">
        <v>480</v>
      </c>
      <c r="F62" s="38" t="s">
        <v>337</v>
      </c>
      <c r="G62" s="38" t="s">
        <v>481</v>
      </c>
      <c r="H62" s="42" t="s">
        <v>482</v>
      </c>
      <c r="I62" s="38" t="s">
        <v>141</v>
      </c>
      <c r="J62" s="38" t="s">
        <v>11</v>
      </c>
      <c r="K62" s="38" t="s">
        <v>483</v>
      </c>
      <c r="L62" s="38" t="s">
        <v>10</v>
      </c>
      <c r="M62" s="38" t="s">
        <v>10</v>
      </c>
      <c r="N62" s="44" t="s">
        <v>10</v>
      </c>
      <c r="O62" s="43">
        <v>2236</v>
      </c>
      <c r="P62" s="43">
        <f>Q62*O62/100</f>
        <v>1453.4</v>
      </c>
      <c r="Q62" s="44">
        <v>65</v>
      </c>
      <c r="R62" s="41">
        <v>40</v>
      </c>
      <c r="IA62" s="33"/>
      <c r="IB62" s="33"/>
      <c r="IC62" s="33"/>
      <c r="ID62" s="33"/>
      <c r="IE62" s="33"/>
      <c r="IF62" s="33"/>
      <c r="IG62" s="33"/>
      <c r="IH62" s="33"/>
    </row>
    <row r="63" spans="1:242" ht="15" customHeight="1">
      <c r="A63" s="65" t="s">
        <v>485</v>
      </c>
      <c r="B63" s="41">
        <v>2017</v>
      </c>
      <c r="C63" s="38" t="s">
        <v>206</v>
      </c>
      <c r="D63" s="38" t="s">
        <v>411</v>
      </c>
      <c r="E63" s="38" t="s">
        <v>486</v>
      </c>
      <c r="F63" s="38" t="s">
        <v>487</v>
      </c>
      <c r="G63" s="38" t="s">
        <v>128</v>
      </c>
      <c r="H63" s="42" t="s">
        <v>636</v>
      </c>
      <c r="I63" s="38" t="s">
        <v>488</v>
      </c>
      <c r="J63" s="38" t="s">
        <v>11</v>
      </c>
      <c r="K63" s="38" t="s">
        <v>489</v>
      </c>
      <c r="L63" s="38" t="s">
        <v>10</v>
      </c>
      <c r="M63" s="38" t="s">
        <v>10</v>
      </c>
      <c r="N63" s="44" t="s">
        <v>10</v>
      </c>
      <c r="O63" s="43">
        <v>2326</v>
      </c>
      <c r="P63" s="43">
        <v>106</v>
      </c>
      <c r="Q63" s="44">
        <f>P63*100/O63</f>
        <v>4.5571797076526224</v>
      </c>
      <c r="R63" s="41">
        <v>41</v>
      </c>
      <c r="IA63" s="33"/>
      <c r="IB63" s="33"/>
      <c r="IC63" s="33"/>
      <c r="ID63" s="33"/>
      <c r="IE63" s="33"/>
      <c r="IF63" s="33"/>
      <c r="IG63" s="33"/>
      <c r="IH63" s="33"/>
    </row>
    <row r="64" spans="1:242" ht="15" customHeight="1">
      <c r="A64" s="65" t="s">
        <v>490</v>
      </c>
      <c r="B64" s="41">
        <v>2014</v>
      </c>
      <c r="C64" s="38" t="s">
        <v>206</v>
      </c>
      <c r="D64" s="38" t="s">
        <v>484</v>
      </c>
      <c r="E64" s="38" t="s">
        <v>491</v>
      </c>
      <c r="F64" s="38" t="s">
        <v>9</v>
      </c>
      <c r="G64" s="38" t="s">
        <v>370</v>
      </c>
      <c r="H64" s="38" t="s">
        <v>125</v>
      </c>
      <c r="I64" s="38" t="s">
        <v>492</v>
      </c>
      <c r="J64" s="38" t="s">
        <v>11</v>
      </c>
      <c r="K64" s="38" t="s">
        <v>493</v>
      </c>
      <c r="L64" s="38" t="s">
        <v>10</v>
      </c>
      <c r="M64" s="38" t="s">
        <v>10</v>
      </c>
      <c r="N64" s="44" t="s">
        <v>10</v>
      </c>
      <c r="O64" s="43">
        <v>3419</v>
      </c>
      <c r="P64" s="43">
        <v>870</v>
      </c>
      <c r="Q64" s="44">
        <v>25.5</v>
      </c>
      <c r="R64" s="41">
        <v>42</v>
      </c>
      <c r="IA64" s="33"/>
      <c r="IB64" s="33"/>
      <c r="IC64" s="33"/>
      <c r="ID64" s="33"/>
      <c r="IE64" s="33"/>
      <c r="IF64" s="33"/>
      <c r="IG64" s="33"/>
      <c r="IH64" s="33"/>
    </row>
    <row r="65" spans="1:242" ht="15" customHeight="1">
      <c r="A65" s="65" t="s">
        <v>490</v>
      </c>
      <c r="B65" s="41">
        <v>2014</v>
      </c>
      <c r="C65" s="38" t="s">
        <v>206</v>
      </c>
      <c r="D65" s="38" t="s">
        <v>484</v>
      </c>
      <c r="E65" s="38" t="s">
        <v>491</v>
      </c>
      <c r="F65" s="38" t="s">
        <v>9</v>
      </c>
      <c r="G65" s="38" t="s">
        <v>370</v>
      </c>
      <c r="H65" s="38" t="s">
        <v>125</v>
      </c>
      <c r="I65" s="38" t="s">
        <v>492</v>
      </c>
      <c r="J65" s="38" t="s">
        <v>11</v>
      </c>
      <c r="K65" s="38" t="s">
        <v>24</v>
      </c>
      <c r="L65" s="38" t="s">
        <v>10</v>
      </c>
      <c r="M65" s="38" t="s">
        <v>10</v>
      </c>
      <c r="N65" s="44" t="s">
        <v>10</v>
      </c>
      <c r="O65" s="43">
        <v>1240</v>
      </c>
      <c r="P65" s="43">
        <v>126</v>
      </c>
      <c r="Q65" s="44">
        <f>P65*100/O65</f>
        <v>10.161290322580646</v>
      </c>
      <c r="R65" s="41">
        <v>42</v>
      </c>
      <c r="IA65" s="33"/>
      <c r="IB65" s="33"/>
      <c r="IC65" s="33"/>
      <c r="ID65" s="33"/>
      <c r="IE65" s="33"/>
      <c r="IF65" s="33"/>
      <c r="IG65" s="33"/>
      <c r="IH65" s="33"/>
    </row>
    <row r="66" spans="1:242" ht="15" customHeight="1">
      <c r="A66" s="65" t="s">
        <v>490</v>
      </c>
      <c r="B66" s="41">
        <v>2014</v>
      </c>
      <c r="C66" s="38" t="s">
        <v>206</v>
      </c>
      <c r="D66" s="38" t="s">
        <v>484</v>
      </c>
      <c r="E66" s="38" t="s">
        <v>491</v>
      </c>
      <c r="F66" s="38" t="s">
        <v>9</v>
      </c>
      <c r="G66" s="38" t="s">
        <v>370</v>
      </c>
      <c r="H66" s="38" t="s">
        <v>125</v>
      </c>
      <c r="I66" s="38" t="s">
        <v>492</v>
      </c>
      <c r="J66" s="38" t="s">
        <v>11</v>
      </c>
      <c r="K66" s="38" t="s">
        <v>25</v>
      </c>
      <c r="L66" s="38" t="s">
        <v>10</v>
      </c>
      <c r="M66" s="38" t="s">
        <v>10</v>
      </c>
      <c r="N66" s="44" t="s">
        <v>10</v>
      </c>
      <c r="O66" s="43">
        <v>1072</v>
      </c>
      <c r="P66" s="43">
        <v>276</v>
      </c>
      <c r="Q66" s="44">
        <v>25.8</v>
      </c>
      <c r="R66" s="41">
        <v>42</v>
      </c>
      <c r="IA66" s="33"/>
      <c r="IB66" s="33"/>
      <c r="IC66" s="33"/>
      <c r="ID66" s="33"/>
      <c r="IE66" s="33"/>
      <c r="IF66" s="33"/>
      <c r="IG66" s="33"/>
      <c r="IH66" s="33"/>
    </row>
    <row r="67" spans="1:242" ht="15" customHeight="1">
      <c r="A67" s="65" t="s">
        <v>490</v>
      </c>
      <c r="B67" s="41">
        <v>2014</v>
      </c>
      <c r="C67" s="38" t="s">
        <v>206</v>
      </c>
      <c r="D67" s="38" t="s">
        <v>484</v>
      </c>
      <c r="E67" s="38" t="s">
        <v>491</v>
      </c>
      <c r="F67" s="38" t="s">
        <v>9</v>
      </c>
      <c r="G67" s="38" t="s">
        <v>370</v>
      </c>
      <c r="H67" s="38" t="s">
        <v>125</v>
      </c>
      <c r="I67" s="38" t="s">
        <v>492</v>
      </c>
      <c r="J67" s="38" t="s">
        <v>11</v>
      </c>
      <c r="K67" s="42" t="s">
        <v>617</v>
      </c>
      <c r="L67" s="38" t="s">
        <v>10</v>
      </c>
      <c r="M67" s="38" t="s">
        <v>10</v>
      </c>
      <c r="N67" s="44" t="s">
        <v>10</v>
      </c>
      <c r="O67" s="43">
        <v>1107</v>
      </c>
      <c r="P67" s="43">
        <v>468</v>
      </c>
      <c r="Q67" s="44">
        <f t="shared" ref="Q67:Q87" si="5">P67*100/O67</f>
        <v>42.27642276422764</v>
      </c>
      <c r="R67" s="41">
        <v>42</v>
      </c>
      <c r="IA67" s="33"/>
      <c r="IB67" s="33"/>
      <c r="IC67" s="33"/>
      <c r="ID67" s="33"/>
      <c r="IE67" s="33"/>
      <c r="IF67" s="33"/>
      <c r="IG67" s="33"/>
      <c r="IH67" s="33"/>
    </row>
    <row r="68" spans="1:242" ht="15" customHeight="1">
      <c r="A68" s="65" t="s">
        <v>494</v>
      </c>
      <c r="B68" s="38" t="s">
        <v>495</v>
      </c>
      <c r="C68" s="38" t="s">
        <v>206</v>
      </c>
      <c r="D68" s="38" t="s">
        <v>451</v>
      </c>
      <c r="E68" s="38" t="s">
        <v>496</v>
      </c>
      <c r="F68" s="38" t="s">
        <v>9</v>
      </c>
      <c r="G68" s="38" t="s">
        <v>128</v>
      </c>
      <c r="H68" s="42" t="s">
        <v>497</v>
      </c>
      <c r="I68" s="38" t="s">
        <v>498</v>
      </c>
      <c r="J68" s="38" t="s">
        <v>16</v>
      </c>
      <c r="K68" s="38" t="s">
        <v>499</v>
      </c>
      <c r="L68" s="38" t="s">
        <v>10</v>
      </c>
      <c r="M68" s="38" t="s">
        <v>10</v>
      </c>
      <c r="N68" s="44" t="s">
        <v>10</v>
      </c>
      <c r="O68" s="43">
        <v>837</v>
      </c>
      <c r="P68" s="43">
        <v>25</v>
      </c>
      <c r="Q68" s="44">
        <f t="shared" si="5"/>
        <v>2.9868578255675029</v>
      </c>
      <c r="R68" s="42" t="s">
        <v>643</v>
      </c>
      <c r="IA68" s="33"/>
      <c r="IB68" s="33"/>
      <c r="IC68" s="33"/>
      <c r="ID68" s="33"/>
      <c r="IE68" s="33"/>
      <c r="IF68" s="33"/>
      <c r="IG68" s="33"/>
      <c r="IH68" s="33"/>
    </row>
    <row r="69" spans="1:242" ht="15" customHeight="1">
      <c r="A69" s="65" t="s">
        <v>500</v>
      </c>
      <c r="B69" s="41">
        <v>2015</v>
      </c>
      <c r="C69" s="38" t="s">
        <v>206</v>
      </c>
      <c r="D69" s="38" t="s">
        <v>501</v>
      </c>
      <c r="E69" s="38" t="s">
        <v>502</v>
      </c>
      <c r="F69" s="38" t="s">
        <v>9</v>
      </c>
      <c r="G69" s="41">
        <v>2009</v>
      </c>
      <c r="H69" s="38" t="s">
        <v>503</v>
      </c>
      <c r="I69" s="38" t="s">
        <v>504</v>
      </c>
      <c r="J69" s="38" t="s">
        <v>16</v>
      </c>
      <c r="K69" s="38" t="s">
        <v>505</v>
      </c>
      <c r="L69" s="38" t="s">
        <v>10</v>
      </c>
      <c r="M69" s="38" t="s">
        <v>10</v>
      </c>
      <c r="N69" s="44" t="s">
        <v>10</v>
      </c>
      <c r="O69" s="43">
        <f t="shared" ref="O69:P72" si="6">O73+O77</f>
        <v>140</v>
      </c>
      <c r="P69" s="43">
        <f t="shared" si="6"/>
        <v>23</v>
      </c>
      <c r="Q69" s="44">
        <f t="shared" si="5"/>
        <v>16.428571428571427</v>
      </c>
      <c r="R69" s="41">
        <v>45</v>
      </c>
      <c r="IA69" s="33"/>
      <c r="IB69" s="33"/>
      <c r="IC69" s="33"/>
      <c r="ID69" s="33"/>
      <c r="IE69" s="33"/>
      <c r="IF69" s="33"/>
      <c r="IG69" s="33"/>
      <c r="IH69" s="33"/>
    </row>
    <row r="70" spans="1:242" ht="15" customHeight="1">
      <c r="A70" s="65" t="s">
        <v>500</v>
      </c>
      <c r="B70" s="41">
        <v>2015</v>
      </c>
      <c r="C70" s="38" t="s">
        <v>206</v>
      </c>
      <c r="D70" s="38" t="s">
        <v>501</v>
      </c>
      <c r="E70" s="38" t="s">
        <v>502</v>
      </c>
      <c r="F70" s="38" t="s">
        <v>9</v>
      </c>
      <c r="G70" s="41">
        <v>2009</v>
      </c>
      <c r="H70" s="38" t="s">
        <v>503</v>
      </c>
      <c r="I70" s="38" t="s">
        <v>504</v>
      </c>
      <c r="J70" s="38" t="s">
        <v>16</v>
      </c>
      <c r="K70" s="38" t="s">
        <v>252</v>
      </c>
      <c r="L70" s="38" t="s">
        <v>10</v>
      </c>
      <c r="M70" s="38" t="s">
        <v>10</v>
      </c>
      <c r="N70" s="44" t="s">
        <v>10</v>
      </c>
      <c r="O70" s="43">
        <f t="shared" si="6"/>
        <v>117</v>
      </c>
      <c r="P70" s="43">
        <f t="shared" si="6"/>
        <v>42</v>
      </c>
      <c r="Q70" s="44">
        <f t="shared" si="5"/>
        <v>35.897435897435898</v>
      </c>
      <c r="R70" s="41">
        <v>45</v>
      </c>
      <c r="IA70" s="33"/>
      <c r="IB70" s="33"/>
      <c r="IC70" s="33"/>
      <c r="ID70" s="33"/>
      <c r="IE70" s="33"/>
      <c r="IF70" s="33"/>
      <c r="IG70" s="33"/>
      <c r="IH70" s="33"/>
    </row>
    <row r="71" spans="1:242" ht="15" customHeight="1">
      <c r="A71" s="65" t="s">
        <v>500</v>
      </c>
      <c r="B71" s="41">
        <v>2015</v>
      </c>
      <c r="C71" s="38" t="s">
        <v>206</v>
      </c>
      <c r="D71" s="38" t="s">
        <v>501</v>
      </c>
      <c r="E71" s="38" t="s">
        <v>502</v>
      </c>
      <c r="F71" s="38" t="s">
        <v>9</v>
      </c>
      <c r="G71" s="41">
        <v>2009</v>
      </c>
      <c r="H71" s="38" t="s">
        <v>503</v>
      </c>
      <c r="I71" s="38" t="s">
        <v>504</v>
      </c>
      <c r="J71" s="38" t="s">
        <v>16</v>
      </c>
      <c r="K71" s="38" t="s">
        <v>253</v>
      </c>
      <c r="L71" s="38" t="s">
        <v>10</v>
      </c>
      <c r="M71" s="38" t="s">
        <v>10</v>
      </c>
      <c r="N71" s="44" t="s">
        <v>10</v>
      </c>
      <c r="O71" s="43">
        <f t="shared" si="6"/>
        <v>70</v>
      </c>
      <c r="P71" s="43">
        <f t="shared" si="6"/>
        <v>37</v>
      </c>
      <c r="Q71" s="44">
        <f t="shared" si="5"/>
        <v>52.857142857142854</v>
      </c>
      <c r="R71" s="41">
        <v>45</v>
      </c>
      <c r="IA71" s="33"/>
      <c r="IB71" s="33"/>
      <c r="IC71" s="33"/>
      <c r="ID71" s="33"/>
      <c r="IE71" s="33"/>
      <c r="IF71" s="33"/>
      <c r="IG71" s="33"/>
      <c r="IH71" s="33"/>
    </row>
    <row r="72" spans="1:242" ht="15" customHeight="1">
      <c r="A72" s="65" t="s">
        <v>500</v>
      </c>
      <c r="B72" s="41">
        <v>2015</v>
      </c>
      <c r="C72" s="38" t="s">
        <v>206</v>
      </c>
      <c r="D72" s="38" t="s">
        <v>501</v>
      </c>
      <c r="E72" s="38" t="s">
        <v>502</v>
      </c>
      <c r="F72" s="38" t="s">
        <v>9</v>
      </c>
      <c r="G72" s="41">
        <v>2009</v>
      </c>
      <c r="H72" s="38" t="s">
        <v>503</v>
      </c>
      <c r="I72" s="38" t="s">
        <v>504</v>
      </c>
      <c r="J72" s="38" t="s">
        <v>16</v>
      </c>
      <c r="K72" s="38" t="s">
        <v>506</v>
      </c>
      <c r="L72" s="38" t="s">
        <v>10</v>
      </c>
      <c r="M72" s="38" t="s">
        <v>10</v>
      </c>
      <c r="N72" s="44" t="s">
        <v>10</v>
      </c>
      <c r="O72" s="43">
        <f t="shared" si="6"/>
        <v>75</v>
      </c>
      <c r="P72" s="43">
        <f t="shared" si="6"/>
        <v>39</v>
      </c>
      <c r="Q72" s="44">
        <f t="shared" si="5"/>
        <v>52</v>
      </c>
      <c r="R72" s="41">
        <v>45</v>
      </c>
      <c r="IA72" s="33"/>
      <c r="IB72" s="33"/>
      <c r="IC72" s="33"/>
      <c r="ID72" s="33"/>
      <c r="IE72" s="33"/>
      <c r="IF72" s="33"/>
      <c r="IG72" s="33"/>
      <c r="IH72" s="33"/>
    </row>
    <row r="73" spans="1:242" ht="15" customHeight="1">
      <c r="A73" s="65" t="s">
        <v>500</v>
      </c>
      <c r="B73" s="41">
        <v>2015</v>
      </c>
      <c r="C73" s="38" t="s">
        <v>206</v>
      </c>
      <c r="D73" s="38" t="s">
        <v>501</v>
      </c>
      <c r="E73" s="38" t="s">
        <v>502</v>
      </c>
      <c r="F73" s="38" t="s">
        <v>9</v>
      </c>
      <c r="G73" s="41">
        <v>2009</v>
      </c>
      <c r="H73" s="38" t="s">
        <v>503</v>
      </c>
      <c r="I73" s="38" t="s">
        <v>504</v>
      </c>
      <c r="J73" s="38" t="s">
        <v>23</v>
      </c>
      <c r="K73" s="38" t="s">
        <v>505</v>
      </c>
      <c r="L73" s="38" t="s">
        <v>10</v>
      </c>
      <c r="M73" s="38" t="s">
        <v>10</v>
      </c>
      <c r="N73" s="44" t="s">
        <v>10</v>
      </c>
      <c r="O73" s="43">
        <v>62</v>
      </c>
      <c r="P73" s="43">
        <v>6</v>
      </c>
      <c r="Q73" s="44">
        <f t="shared" si="5"/>
        <v>9.67741935483871</v>
      </c>
      <c r="R73" s="41">
        <v>45</v>
      </c>
      <c r="IA73" s="33"/>
      <c r="IB73" s="33"/>
      <c r="IC73" s="33"/>
      <c r="ID73" s="33"/>
      <c r="IE73" s="33"/>
      <c r="IF73" s="33"/>
      <c r="IG73" s="33"/>
      <c r="IH73" s="33"/>
    </row>
    <row r="74" spans="1:242" ht="15" customHeight="1">
      <c r="A74" s="65" t="s">
        <v>500</v>
      </c>
      <c r="B74" s="41">
        <v>2015</v>
      </c>
      <c r="C74" s="38" t="s">
        <v>206</v>
      </c>
      <c r="D74" s="38" t="s">
        <v>501</v>
      </c>
      <c r="E74" s="38" t="s">
        <v>502</v>
      </c>
      <c r="F74" s="38" t="s">
        <v>9</v>
      </c>
      <c r="G74" s="41">
        <v>2009</v>
      </c>
      <c r="H74" s="38" t="s">
        <v>503</v>
      </c>
      <c r="I74" s="38" t="s">
        <v>504</v>
      </c>
      <c r="J74" s="38" t="s">
        <v>23</v>
      </c>
      <c r="K74" s="38" t="s">
        <v>252</v>
      </c>
      <c r="L74" s="38" t="s">
        <v>10</v>
      </c>
      <c r="M74" s="38" t="s">
        <v>10</v>
      </c>
      <c r="N74" s="44" t="s">
        <v>10</v>
      </c>
      <c r="O74" s="43">
        <v>61</v>
      </c>
      <c r="P74" s="43">
        <v>10</v>
      </c>
      <c r="Q74" s="44">
        <f t="shared" si="5"/>
        <v>16.393442622950818</v>
      </c>
      <c r="R74" s="41">
        <v>45</v>
      </c>
      <c r="IA74" s="33"/>
      <c r="IB74" s="33"/>
      <c r="IC74" s="33"/>
      <c r="ID74" s="33"/>
      <c r="IE74" s="33"/>
      <c r="IF74" s="33"/>
      <c r="IG74" s="33"/>
      <c r="IH74" s="33"/>
    </row>
    <row r="75" spans="1:242" ht="15" customHeight="1">
      <c r="A75" s="65" t="s">
        <v>500</v>
      </c>
      <c r="B75" s="41">
        <v>2015</v>
      </c>
      <c r="C75" s="38" t="s">
        <v>206</v>
      </c>
      <c r="D75" s="38" t="s">
        <v>501</v>
      </c>
      <c r="E75" s="38" t="s">
        <v>502</v>
      </c>
      <c r="F75" s="38" t="s">
        <v>9</v>
      </c>
      <c r="G75" s="41">
        <v>2009</v>
      </c>
      <c r="H75" s="38" t="s">
        <v>503</v>
      </c>
      <c r="I75" s="38" t="s">
        <v>504</v>
      </c>
      <c r="J75" s="38" t="s">
        <v>23</v>
      </c>
      <c r="K75" s="38" t="s">
        <v>253</v>
      </c>
      <c r="L75" s="38" t="s">
        <v>10</v>
      </c>
      <c r="M75" s="38" t="s">
        <v>10</v>
      </c>
      <c r="N75" s="44" t="s">
        <v>10</v>
      </c>
      <c r="O75" s="43">
        <v>37</v>
      </c>
      <c r="P75" s="43">
        <v>11</v>
      </c>
      <c r="Q75" s="44">
        <f t="shared" si="5"/>
        <v>29.72972972972973</v>
      </c>
      <c r="R75" s="41">
        <v>45</v>
      </c>
      <c r="IA75" s="33"/>
      <c r="IB75" s="33"/>
      <c r="IC75" s="33"/>
      <c r="ID75" s="33"/>
      <c r="IE75" s="33"/>
      <c r="IF75" s="33"/>
      <c r="IG75" s="33"/>
      <c r="IH75" s="33"/>
    </row>
    <row r="76" spans="1:242" ht="15" customHeight="1">
      <c r="A76" s="65" t="s">
        <v>500</v>
      </c>
      <c r="B76" s="41">
        <v>2015</v>
      </c>
      <c r="C76" s="38" t="s">
        <v>206</v>
      </c>
      <c r="D76" s="38" t="s">
        <v>501</v>
      </c>
      <c r="E76" s="38" t="s">
        <v>502</v>
      </c>
      <c r="F76" s="38" t="s">
        <v>9</v>
      </c>
      <c r="G76" s="41">
        <v>2009</v>
      </c>
      <c r="H76" s="38" t="s">
        <v>503</v>
      </c>
      <c r="I76" s="38" t="s">
        <v>504</v>
      </c>
      <c r="J76" s="38" t="s">
        <v>23</v>
      </c>
      <c r="K76" s="38" t="s">
        <v>506</v>
      </c>
      <c r="L76" s="38" t="s">
        <v>10</v>
      </c>
      <c r="M76" s="38" t="s">
        <v>10</v>
      </c>
      <c r="N76" s="44" t="s">
        <v>10</v>
      </c>
      <c r="O76" s="43">
        <v>45</v>
      </c>
      <c r="P76" s="43">
        <v>20</v>
      </c>
      <c r="Q76" s="44">
        <f t="shared" si="5"/>
        <v>44.444444444444443</v>
      </c>
      <c r="R76" s="41">
        <v>45</v>
      </c>
      <c r="IA76" s="33"/>
      <c r="IB76" s="33"/>
      <c r="IC76" s="33"/>
      <c r="ID76" s="33"/>
      <c r="IE76" s="33"/>
      <c r="IF76" s="33"/>
      <c r="IG76" s="33"/>
      <c r="IH76" s="33"/>
    </row>
    <row r="77" spans="1:242" ht="15" customHeight="1">
      <c r="A77" s="65" t="s">
        <v>500</v>
      </c>
      <c r="B77" s="41">
        <v>2015</v>
      </c>
      <c r="C77" s="38" t="s">
        <v>206</v>
      </c>
      <c r="D77" s="38" t="s">
        <v>501</v>
      </c>
      <c r="E77" s="38" t="s">
        <v>502</v>
      </c>
      <c r="F77" s="38" t="s">
        <v>9</v>
      </c>
      <c r="G77" s="41">
        <v>2009</v>
      </c>
      <c r="H77" s="38" t="s">
        <v>503</v>
      </c>
      <c r="I77" s="38" t="s">
        <v>504</v>
      </c>
      <c r="J77" s="38" t="s">
        <v>11</v>
      </c>
      <c r="K77" s="38" t="s">
        <v>505</v>
      </c>
      <c r="L77" s="38" t="s">
        <v>10</v>
      </c>
      <c r="M77" s="38" t="s">
        <v>10</v>
      </c>
      <c r="N77" s="44" t="s">
        <v>10</v>
      </c>
      <c r="O77" s="43">
        <v>78</v>
      </c>
      <c r="P77" s="43">
        <v>17</v>
      </c>
      <c r="Q77" s="44">
        <f t="shared" si="5"/>
        <v>21.794871794871796</v>
      </c>
      <c r="R77" s="41">
        <v>45</v>
      </c>
      <c r="IA77" s="33"/>
      <c r="IB77" s="33"/>
      <c r="IC77" s="33"/>
      <c r="ID77" s="33"/>
      <c r="IE77" s="33"/>
      <c r="IF77" s="33"/>
      <c r="IG77" s="33"/>
      <c r="IH77" s="33"/>
    </row>
    <row r="78" spans="1:242" ht="15" customHeight="1">
      <c r="A78" s="65" t="s">
        <v>500</v>
      </c>
      <c r="B78" s="41">
        <v>2015</v>
      </c>
      <c r="C78" s="38" t="s">
        <v>206</v>
      </c>
      <c r="D78" s="38" t="s">
        <v>501</v>
      </c>
      <c r="E78" s="38" t="s">
        <v>502</v>
      </c>
      <c r="F78" s="38" t="s">
        <v>9</v>
      </c>
      <c r="G78" s="41">
        <v>2009</v>
      </c>
      <c r="H78" s="38" t="s">
        <v>503</v>
      </c>
      <c r="I78" s="38" t="s">
        <v>504</v>
      </c>
      <c r="J78" s="38" t="s">
        <v>11</v>
      </c>
      <c r="K78" s="38" t="s">
        <v>252</v>
      </c>
      <c r="L78" s="38" t="s">
        <v>10</v>
      </c>
      <c r="M78" s="38" t="s">
        <v>10</v>
      </c>
      <c r="N78" s="44" t="s">
        <v>10</v>
      </c>
      <c r="O78" s="43">
        <v>56</v>
      </c>
      <c r="P78" s="43">
        <v>32</v>
      </c>
      <c r="Q78" s="44">
        <f t="shared" si="5"/>
        <v>57.142857142857146</v>
      </c>
      <c r="R78" s="41">
        <v>45</v>
      </c>
      <c r="IA78" s="33"/>
      <c r="IB78" s="33"/>
      <c r="IC78" s="33"/>
      <c r="ID78" s="33"/>
      <c r="IE78" s="33"/>
      <c r="IF78" s="33"/>
      <c r="IG78" s="33"/>
      <c r="IH78" s="33"/>
    </row>
    <row r="79" spans="1:242" ht="15" customHeight="1">
      <c r="A79" s="65" t="s">
        <v>500</v>
      </c>
      <c r="B79" s="41">
        <v>2015</v>
      </c>
      <c r="C79" s="38" t="s">
        <v>206</v>
      </c>
      <c r="D79" s="38" t="s">
        <v>501</v>
      </c>
      <c r="E79" s="38" t="s">
        <v>502</v>
      </c>
      <c r="F79" s="38" t="s">
        <v>9</v>
      </c>
      <c r="G79" s="41">
        <v>2009</v>
      </c>
      <c r="H79" s="38" t="s">
        <v>503</v>
      </c>
      <c r="I79" s="38" t="s">
        <v>504</v>
      </c>
      <c r="J79" s="38" t="s">
        <v>11</v>
      </c>
      <c r="K79" s="38" t="s">
        <v>253</v>
      </c>
      <c r="L79" s="38" t="s">
        <v>10</v>
      </c>
      <c r="M79" s="38" t="s">
        <v>10</v>
      </c>
      <c r="N79" s="44" t="s">
        <v>10</v>
      </c>
      <c r="O79" s="43">
        <v>33</v>
      </c>
      <c r="P79" s="43">
        <v>26</v>
      </c>
      <c r="Q79" s="44">
        <f t="shared" si="5"/>
        <v>78.787878787878782</v>
      </c>
      <c r="R79" s="41">
        <v>45</v>
      </c>
      <c r="IA79" s="33"/>
      <c r="IB79" s="33"/>
      <c r="IC79" s="33"/>
      <c r="ID79" s="33"/>
      <c r="IE79" s="33"/>
      <c r="IF79" s="33"/>
      <c r="IG79" s="33"/>
      <c r="IH79" s="33"/>
    </row>
    <row r="80" spans="1:242" ht="15" customHeight="1">
      <c r="A80" s="65" t="s">
        <v>500</v>
      </c>
      <c r="B80" s="41">
        <v>2015</v>
      </c>
      <c r="C80" s="38" t="s">
        <v>206</v>
      </c>
      <c r="D80" s="38" t="s">
        <v>501</v>
      </c>
      <c r="E80" s="38" t="s">
        <v>502</v>
      </c>
      <c r="F80" s="38" t="s">
        <v>9</v>
      </c>
      <c r="G80" s="41">
        <v>2009</v>
      </c>
      <c r="H80" s="38" t="s">
        <v>503</v>
      </c>
      <c r="I80" s="38" t="s">
        <v>504</v>
      </c>
      <c r="J80" s="38" t="s">
        <v>11</v>
      </c>
      <c r="K80" s="38" t="s">
        <v>506</v>
      </c>
      <c r="L80" s="38" t="s">
        <v>10</v>
      </c>
      <c r="M80" s="38" t="s">
        <v>10</v>
      </c>
      <c r="N80" s="44" t="s">
        <v>10</v>
      </c>
      <c r="O80" s="43">
        <v>30</v>
      </c>
      <c r="P80" s="43">
        <v>19</v>
      </c>
      <c r="Q80" s="44">
        <f t="shared" si="5"/>
        <v>63.333333333333336</v>
      </c>
      <c r="R80" s="41">
        <v>45</v>
      </c>
      <c r="IA80" s="33"/>
      <c r="IB80" s="33"/>
      <c r="IC80" s="33"/>
      <c r="ID80" s="33"/>
      <c r="IE80" s="33"/>
      <c r="IF80" s="33"/>
      <c r="IG80" s="33"/>
      <c r="IH80" s="33"/>
    </row>
    <row r="81" spans="1:242" ht="15" customHeight="1">
      <c r="A81" s="65" t="s">
        <v>507</v>
      </c>
      <c r="B81" s="38" t="s">
        <v>508</v>
      </c>
      <c r="C81" s="38" t="s">
        <v>206</v>
      </c>
      <c r="D81" s="38" t="s">
        <v>509</v>
      </c>
      <c r="E81" s="38" t="s">
        <v>510</v>
      </c>
      <c r="F81" s="38" t="s">
        <v>9</v>
      </c>
      <c r="G81" s="38" t="s">
        <v>128</v>
      </c>
      <c r="H81" s="38" t="s">
        <v>312</v>
      </c>
      <c r="I81" s="42" t="s">
        <v>637</v>
      </c>
      <c r="J81" s="38" t="s">
        <v>11</v>
      </c>
      <c r="K81" s="38" t="s">
        <v>511</v>
      </c>
      <c r="L81" s="41">
        <v>674</v>
      </c>
      <c r="M81" s="43">
        <v>649</v>
      </c>
      <c r="N81" s="44">
        <f>M81*100/L81</f>
        <v>96.290801186943625</v>
      </c>
      <c r="O81" s="43">
        <v>674</v>
      </c>
      <c r="P81" s="43">
        <v>312</v>
      </c>
      <c r="Q81" s="44">
        <f t="shared" si="5"/>
        <v>46.290801186943618</v>
      </c>
      <c r="R81" s="42" t="s">
        <v>644</v>
      </c>
      <c r="IA81" s="33"/>
      <c r="IB81" s="33"/>
      <c r="IC81" s="33"/>
      <c r="ID81" s="33"/>
      <c r="IE81" s="33"/>
      <c r="IF81" s="33"/>
      <c r="IG81" s="33"/>
      <c r="IH81" s="33"/>
    </row>
    <row r="82" spans="1:242" ht="15" customHeight="1">
      <c r="A82" s="65" t="s">
        <v>507</v>
      </c>
      <c r="B82" s="38" t="s">
        <v>508</v>
      </c>
      <c r="C82" s="38" t="s">
        <v>206</v>
      </c>
      <c r="D82" s="38" t="s">
        <v>509</v>
      </c>
      <c r="E82" s="38" t="s">
        <v>510</v>
      </c>
      <c r="F82" s="38" t="s">
        <v>9</v>
      </c>
      <c r="G82" s="38" t="s">
        <v>128</v>
      </c>
      <c r="H82" s="38" t="s">
        <v>312</v>
      </c>
      <c r="I82" s="42" t="s">
        <v>637</v>
      </c>
      <c r="J82" s="38" t="s">
        <v>11</v>
      </c>
      <c r="K82" s="38" t="s">
        <v>512</v>
      </c>
      <c r="L82" s="38" t="s">
        <v>10</v>
      </c>
      <c r="M82" s="38" t="s">
        <v>10</v>
      </c>
      <c r="N82" s="44" t="s">
        <v>10</v>
      </c>
      <c r="O82" s="43">
        <v>7</v>
      </c>
      <c r="P82" s="43">
        <v>2</v>
      </c>
      <c r="Q82" s="44">
        <f t="shared" si="5"/>
        <v>28.571428571428573</v>
      </c>
      <c r="R82" s="42" t="s">
        <v>644</v>
      </c>
      <c r="IA82" s="33"/>
      <c r="IB82" s="33"/>
      <c r="IC82" s="33"/>
      <c r="ID82" s="33"/>
      <c r="IE82" s="33"/>
      <c r="IF82" s="33"/>
      <c r="IG82" s="33"/>
      <c r="IH82" s="33"/>
    </row>
    <row r="83" spans="1:242" ht="15" customHeight="1">
      <c r="A83" s="65" t="s">
        <v>507</v>
      </c>
      <c r="B83" s="38" t="s">
        <v>508</v>
      </c>
      <c r="C83" s="38" t="s">
        <v>206</v>
      </c>
      <c r="D83" s="38" t="s">
        <v>509</v>
      </c>
      <c r="E83" s="38" t="s">
        <v>510</v>
      </c>
      <c r="F83" s="38" t="s">
        <v>9</v>
      </c>
      <c r="G83" s="38" t="s">
        <v>128</v>
      </c>
      <c r="H83" s="38" t="s">
        <v>312</v>
      </c>
      <c r="I83" s="42" t="s">
        <v>637</v>
      </c>
      <c r="J83" s="38" t="s">
        <v>11</v>
      </c>
      <c r="K83" s="38" t="s">
        <v>513</v>
      </c>
      <c r="L83" s="38" t="s">
        <v>10</v>
      </c>
      <c r="M83" s="38" t="s">
        <v>10</v>
      </c>
      <c r="N83" s="44" t="s">
        <v>10</v>
      </c>
      <c r="O83" s="43">
        <v>98</v>
      </c>
      <c r="P83" s="43">
        <v>38</v>
      </c>
      <c r="Q83" s="44">
        <f t="shared" si="5"/>
        <v>38.775510204081634</v>
      </c>
      <c r="R83" s="42" t="s">
        <v>644</v>
      </c>
      <c r="IA83" s="33"/>
      <c r="IB83" s="33"/>
      <c r="IC83" s="33"/>
      <c r="ID83" s="33"/>
      <c r="IE83" s="33"/>
      <c r="IF83" s="33"/>
      <c r="IG83" s="33"/>
      <c r="IH83" s="33"/>
    </row>
    <row r="84" spans="1:242" ht="15" customHeight="1">
      <c r="A84" s="65" t="s">
        <v>507</v>
      </c>
      <c r="B84" s="38" t="s">
        <v>508</v>
      </c>
      <c r="C84" s="38" t="s">
        <v>206</v>
      </c>
      <c r="D84" s="38" t="s">
        <v>509</v>
      </c>
      <c r="E84" s="38" t="s">
        <v>510</v>
      </c>
      <c r="F84" s="38" t="s">
        <v>9</v>
      </c>
      <c r="G84" s="38" t="s">
        <v>128</v>
      </c>
      <c r="H84" s="38" t="s">
        <v>312</v>
      </c>
      <c r="I84" s="42" t="s">
        <v>637</v>
      </c>
      <c r="J84" s="38" t="s">
        <v>11</v>
      </c>
      <c r="K84" s="38" t="s">
        <v>514</v>
      </c>
      <c r="L84" s="38" t="s">
        <v>10</v>
      </c>
      <c r="M84" s="38" t="s">
        <v>10</v>
      </c>
      <c r="N84" s="44" t="s">
        <v>10</v>
      </c>
      <c r="O84" s="43">
        <v>242</v>
      </c>
      <c r="P84" s="43">
        <v>96</v>
      </c>
      <c r="Q84" s="44">
        <f t="shared" si="5"/>
        <v>39.669421487603309</v>
      </c>
      <c r="R84" s="42" t="s">
        <v>644</v>
      </c>
      <c r="IA84" s="33"/>
      <c r="IB84" s="33"/>
      <c r="IC84" s="33"/>
      <c r="ID84" s="33"/>
      <c r="IE84" s="33"/>
      <c r="IF84" s="33"/>
      <c r="IG84" s="33"/>
      <c r="IH84" s="33"/>
    </row>
    <row r="85" spans="1:242" ht="15" customHeight="1">
      <c r="A85" s="65" t="s">
        <v>507</v>
      </c>
      <c r="B85" s="38" t="s">
        <v>508</v>
      </c>
      <c r="C85" s="38" t="s">
        <v>206</v>
      </c>
      <c r="D85" s="38" t="s">
        <v>509</v>
      </c>
      <c r="E85" s="38" t="s">
        <v>510</v>
      </c>
      <c r="F85" s="38" t="s">
        <v>9</v>
      </c>
      <c r="G85" s="38" t="s">
        <v>128</v>
      </c>
      <c r="H85" s="38" t="s">
        <v>312</v>
      </c>
      <c r="I85" s="42" t="s">
        <v>637</v>
      </c>
      <c r="J85" s="38" t="s">
        <v>11</v>
      </c>
      <c r="K85" s="38" t="s">
        <v>231</v>
      </c>
      <c r="L85" s="38" t="s">
        <v>10</v>
      </c>
      <c r="M85" s="38" t="s">
        <v>10</v>
      </c>
      <c r="N85" s="44" t="s">
        <v>10</v>
      </c>
      <c r="O85" s="43">
        <v>225</v>
      </c>
      <c r="P85" s="43">
        <v>109</v>
      </c>
      <c r="Q85" s="44">
        <f t="shared" si="5"/>
        <v>48.444444444444443</v>
      </c>
      <c r="R85" s="42" t="s">
        <v>644</v>
      </c>
      <c r="IA85" s="33"/>
      <c r="IB85" s="33"/>
      <c r="IC85" s="33"/>
      <c r="ID85" s="33"/>
      <c r="IE85" s="33"/>
      <c r="IF85" s="33"/>
      <c r="IG85" s="33"/>
      <c r="IH85" s="33"/>
    </row>
    <row r="86" spans="1:242" ht="15" customHeight="1">
      <c r="A86" s="65" t="s">
        <v>507</v>
      </c>
      <c r="B86" s="38" t="s">
        <v>508</v>
      </c>
      <c r="C86" s="38" t="s">
        <v>206</v>
      </c>
      <c r="D86" s="38" t="s">
        <v>509</v>
      </c>
      <c r="E86" s="38" t="s">
        <v>510</v>
      </c>
      <c r="F86" s="38" t="s">
        <v>9</v>
      </c>
      <c r="G86" s="38" t="s">
        <v>128</v>
      </c>
      <c r="H86" s="38" t="s">
        <v>312</v>
      </c>
      <c r="I86" s="42" t="s">
        <v>637</v>
      </c>
      <c r="J86" s="38" t="s">
        <v>11</v>
      </c>
      <c r="K86" s="38" t="s">
        <v>515</v>
      </c>
      <c r="L86" s="38" t="s">
        <v>10</v>
      </c>
      <c r="M86" s="38" t="s">
        <v>10</v>
      </c>
      <c r="N86" s="44" t="s">
        <v>10</v>
      </c>
      <c r="O86" s="43">
        <v>86</v>
      </c>
      <c r="P86" s="43">
        <v>59</v>
      </c>
      <c r="Q86" s="44">
        <f t="shared" si="5"/>
        <v>68.604651162790702</v>
      </c>
      <c r="R86" s="42" t="s">
        <v>644</v>
      </c>
      <c r="IA86" s="33"/>
      <c r="IB86" s="33"/>
      <c r="IC86" s="33"/>
      <c r="ID86" s="33"/>
      <c r="IE86" s="33"/>
      <c r="IF86" s="33"/>
      <c r="IG86" s="33"/>
      <c r="IH86" s="33"/>
    </row>
    <row r="87" spans="1:242" ht="15" customHeight="1">
      <c r="A87" s="65" t="s">
        <v>507</v>
      </c>
      <c r="B87" s="38" t="s">
        <v>508</v>
      </c>
      <c r="C87" s="38" t="s">
        <v>206</v>
      </c>
      <c r="D87" s="38" t="s">
        <v>509</v>
      </c>
      <c r="E87" s="38" t="s">
        <v>510</v>
      </c>
      <c r="F87" s="38" t="s">
        <v>9</v>
      </c>
      <c r="G87" s="38" t="s">
        <v>128</v>
      </c>
      <c r="H87" s="38" t="s">
        <v>312</v>
      </c>
      <c r="I87" s="42" t="s">
        <v>637</v>
      </c>
      <c r="J87" s="38" t="s">
        <v>11</v>
      </c>
      <c r="K87" s="38" t="s">
        <v>516</v>
      </c>
      <c r="L87" s="38" t="s">
        <v>10</v>
      </c>
      <c r="M87" s="38" t="s">
        <v>10</v>
      </c>
      <c r="N87" s="44" t="s">
        <v>10</v>
      </c>
      <c r="O87" s="43">
        <v>16</v>
      </c>
      <c r="P87" s="43">
        <v>8</v>
      </c>
      <c r="Q87" s="44">
        <f t="shared" si="5"/>
        <v>50</v>
      </c>
      <c r="R87" s="42" t="s">
        <v>644</v>
      </c>
      <c r="IA87" s="33"/>
      <c r="IB87" s="33"/>
      <c r="IC87" s="33"/>
      <c r="ID87" s="33"/>
      <c r="IE87" s="33"/>
      <c r="IF87" s="33"/>
      <c r="IG87" s="33"/>
      <c r="IH87" s="33"/>
    </row>
    <row r="88" spans="1:242" ht="15" customHeight="1">
      <c r="A88" s="65" t="s">
        <v>517</v>
      </c>
      <c r="B88" s="41">
        <v>2014</v>
      </c>
      <c r="C88" s="38" t="s">
        <v>206</v>
      </c>
      <c r="D88" s="38" t="s">
        <v>518</v>
      </c>
      <c r="E88" s="38" t="s">
        <v>519</v>
      </c>
      <c r="F88" s="38" t="s">
        <v>9</v>
      </c>
      <c r="G88" s="41">
        <v>2012</v>
      </c>
      <c r="H88" s="42" t="s">
        <v>613</v>
      </c>
      <c r="I88" s="38" t="s">
        <v>9</v>
      </c>
      <c r="J88" s="38" t="s">
        <v>11</v>
      </c>
      <c r="K88" s="38" t="s">
        <v>443</v>
      </c>
      <c r="L88" s="38" t="s">
        <v>10</v>
      </c>
      <c r="M88" s="38" t="s">
        <v>10</v>
      </c>
      <c r="N88" s="44" t="s">
        <v>10</v>
      </c>
      <c r="O88" s="43">
        <v>287</v>
      </c>
      <c r="P88" s="43">
        <v>16</v>
      </c>
      <c r="Q88" s="44">
        <v>6</v>
      </c>
      <c r="R88" s="41">
        <v>48</v>
      </c>
      <c r="IA88" s="33"/>
      <c r="IB88" s="33"/>
      <c r="IC88" s="33"/>
      <c r="ID88" s="33"/>
      <c r="IE88" s="33"/>
      <c r="IF88" s="33"/>
      <c r="IG88" s="33"/>
      <c r="IH88" s="33"/>
    </row>
    <row r="89" spans="1:242" ht="15" customHeight="1">
      <c r="A89" s="65" t="s">
        <v>521</v>
      </c>
      <c r="B89" s="41">
        <v>2014</v>
      </c>
      <c r="C89" s="38" t="s">
        <v>206</v>
      </c>
      <c r="D89" s="38" t="s">
        <v>522</v>
      </c>
      <c r="E89" s="38" t="s">
        <v>523</v>
      </c>
      <c r="F89" s="38" t="s">
        <v>9</v>
      </c>
      <c r="G89" s="41">
        <v>2004</v>
      </c>
      <c r="H89" s="38" t="s">
        <v>22</v>
      </c>
      <c r="I89" s="38" t="s">
        <v>524</v>
      </c>
      <c r="J89" s="38" t="s">
        <v>16</v>
      </c>
      <c r="K89" s="38" t="s">
        <v>525</v>
      </c>
      <c r="L89" s="41">
        <v>1124</v>
      </c>
      <c r="M89" s="43">
        <v>1106</v>
      </c>
      <c r="N89" s="44">
        <v>98</v>
      </c>
      <c r="O89" s="43">
        <f>338+786</f>
        <v>1124</v>
      </c>
      <c r="P89" s="43">
        <v>648</v>
      </c>
      <c r="Q89" s="44">
        <v>57.8</v>
      </c>
      <c r="R89" s="41">
        <v>49</v>
      </c>
      <c r="IA89" s="33"/>
      <c r="IB89" s="33"/>
      <c r="IC89" s="33"/>
      <c r="ID89" s="33"/>
      <c r="IE89" s="33"/>
      <c r="IF89" s="33"/>
      <c r="IG89" s="33"/>
      <c r="IH89" s="33"/>
    </row>
    <row r="90" spans="1:242" ht="15" customHeight="1">
      <c r="A90" s="65" t="s">
        <v>521</v>
      </c>
      <c r="B90" s="41">
        <v>2014</v>
      </c>
      <c r="C90" s="38" t="s">
        <v>206</v>
      </c>
      <c r="D90" s="38" t="s">
        <v>522</v>
      </c>
      <c r="E90" s="38" t="s">
        <v>523</v>
      </c>
      <c r="F90" s="38" t="s">
        <v>9</v>
      </c>
      <c r="G90" s="41">
        <v>2004</v>
      </c>
      <c r="H90" s="38" t="s">
        <v>22</v>
      </c>
      <c r="I90" s="38" t="s">
        <v>524</v>
      </c>
      <c r="J90" s="38" t="s">
        <v>16</v>
      </c>
      <c r="K90" s="38" t="s">
        <v>505</v>
      </c>
      <c r="L90" s="38" t="s">
        <v>10</v>
      </c>
      <c r="M90" s="38" t="s">
        <v>10</v>
      </c>
      <c r="N90" s="44" t="s">
        <v>10</v>
      </c>
      <c r="O90" s="43">
        <v>546</v>
      </c>
      <c r="P90" s="43">
        <v>233</v>
      </c>
      <c r="Q90" s="44">
        <v>43</v>
      </c>
      <c r="R90" s="41">
        <v>49</v>
      </c>
      <c r="IA90" s="33"/>
      <c r="IB90" s="33"/>
      <c r="IC90" s="33"/>
      <c r="ID90" s="33"/>
      <c r="IE90" s="33"/>
      <c r="IF90" s="33"/>
      <c r="IG90" s="33"/>
      <c r="IH90" s="33"/>
    </row>
    <row r="91" spans="1:242" ht="15" customHeight="1">
      <c r="A91" s="65" t="s">
        <v>521</v>
      </c>
      <c r="B91" s="41">
        <v>2014</v>
      </c>
      <c r="C91" s="38" t="s">
        <v>206</v>
      </c>
      <c r="D91" s="38" t="s">
        <v>522</v>
      </c>
      <c r="E91" s="38" t="s">
        <v>523</v>
      </c>
      <c r="F91" s="38" t="s">
        <v>9</v>
      </c>
      <c r="G91" s="41">
        <v>2004</v>
      </c>
      <c r="H91" s="38" t="s">
        <v>22</v>
      </c>
      <c r="I91" s="38" t="s">
        <v>524</v>
      </c>
      <c r="J91" s="38" t="s">
        <v>16</v>
      </c>
      <c r="K91" s="38" t="s">
        <v>526</v>
      </c>
      <c r="L91" s="38" t="s">
        <v>10</v>
      </c>
      <c r="M91" s="38" t="s">
        <v>10</v>
      </c>
      <c r="N91" s="44" t="s">
        <v>10</v>
      </c>
      <c r="O91" s="43">
        <v>578</v>
      </c>
      <c r="P91" s="43">
        <v>417</v>
      </c>
      <c r="Q91" s="44">
        <v>72</v>
      </c>
      <c r="R91" s="41">
        <v>49</v>
      </c>
      <c r="IA91" s="33"/>
      <c r="IB91" s="33"/>
      <c r="IC91" s="33"/>
      <c r="ID91" s="33"/>
      <c r="IE91" s="33"/>
      <c r="IF91" s="33"/>
      <c r="IG91" s="33"/>
      <c r="IH91" s="33"/>
    </row>
    <row r="92" spans="1:242" ht="15" customHeight="1">
      <c r="A92" s="65" t="s">
        <v>521</v>
      </c>
      <c r="B92" s="41">
        <v>2014</v>
      </c>
      <c r="C92" s="38" t="s">
        <v>206</v>
      </c>
      <c r="D92" s="38" t="s">
        <v>522</v>
      </c>
      <c r="E92" s="38" t="s">
        <v>523</v>
      </c>
      <c r="F92" s="38" t="s">
        <v>9</v>
      </c>
      <c r="G92" s="41">
        <v>2004</v>
      </c>
      <c r="H92" s="38" t="s">
        <v>22</v>
      </c>
      <c r="I92" s="38" t="s">
        <v>524</v>
      </c>
      <c r="J92" s="38" t="s">
        <v>23</v>
      </c>
      <c r="K92" s="38" t="s">
        <v>525</v>
      </c>
      <c r="L92" s="38" t="s">
        <v>10</v>
      </c>
      <c r="M92" s="38" t="s">
        <v>10</v>
      </c>
      <c r="N92" s="44" t="s">
        <v>10</v>
      </c>
      <c r="O92" s="43">
        <v>338</v>
      </c>
      <c r="P92" s="43">
        <v>147</v>
      </c>
      <c r="Q92" s="44">
        <v>43</v>
      </c>
      <c r="R92" s="41">
        <v>49</v>
      </c>
      <c r="IA92" s="33"/>
      <c r="IB92" s="33"/>
      <c r="IC92" s="33"/>
      <c r="ID92" s="33"/>
      <c r="IE92" s="33"/>
      <c r="IF92" s="33"/>
      <c r="IG92" s="33"/>
      <c r="IH92" s="33"/>
    </row>
    <row r="93" spans="1:242" ht="15" customHeight="1">
      <c r="A93" s="65" t="s">
        <v>521</v>
      </c>
      <c r="B93" s="41">
        <v>2014</v>
      </c>
      <c r="C93" s="38" t="s">
        <v>206</v>
      </c>
      <c r="D93" s="38" t="s">
        <v>522</v>
      </c>
      <c r="E93" s="38" t="s">
        <v>523</v>
      </c>
      <c r="F93" s="38" t="s">
        <v>9</v>
      </c>
      <c r="G93" s="41">
        <v>2004</v>
      </c>
      <c r="H93" s="38" t="s">
        <v>22</v>
      </c>
      <c r="I93" s="38" t="s">
        <v>524</v>
      </c>
      <c r="J93" s="38" t="s">
        <v>11</v>
      </c>
      <c r="K93" s="38" t="s">
        <v>525</v>
      </c>
      <c r="L93" s="38" t="s">
        <v>10</v>
      </c>
      <c r="M93" s="38" t="s">
        <v>10</v>
      </c>
      <c r="N93" s="44" t="s">
        <v>10</v>
      </c>
      <c r="O93" s="43">
        <v>786</v>
      </c>
      <c r="P93" s="43">
        <v>503</v>
      </c>
      <c r="Q93" s="44">
        <v>64</v>
      </c>
      <c r="R93" s="41">
        <v>49</v>
      </c>
      <c r="IA93" s="33"/>
      <c r="IB93" s="33"/>
      <c r="IC93" s="33"/>
      <c r="ID93" s="33"/>
      <c r="IE93" s="33"/>
      <c r="IF93" s="33"/>
      <c r="IG93" s="33"/>
      <c r="IH93" s="33"/>
    </row>
    <row r="94" spans="1:242" ht="15" customHeight="1">
      <c r="A94" s="65" t="s">
        <v>527</v>
      </c>
      <c r="B94" s="41">
        <v>2016</v>
      </c>
      <c r="C94" s="38" t="s">
        <v>206</v>
      </c>
      <c r="D94" s="38" t="s">
        <v>522</v>
      </c>
      <c r="E94" s="38" t="s">
        <v>528</v>
      </c>
      <c r="F94" s="38" t="s">
        <v>9</v>
      </c>
      <c r="G94" s="38" t="s">
        <v>198</v>
      </c>
      <c r="H94" s="38" t="s">
        <v>529</v>
      </c>
      <c r="I94" s="38" t="s">
        <v>530</v>
      </c>
      <c r="J94" s="38" t="s">
        <v>11</v>
      </c>
      <c r="K94" s="38" t="s">
        <v>531</v>
      </c>
      <c r="L94" s="38" t="s">
        <v>10</v>
      </c>
      <c r="M94" s="38" t="s">
        <v>10</v>
      </c>
      <c r="N94" s="44" t="s">
        <v>10</v>
      </c>
      <c r="O94" s="43">
        <v>524</v>
      </c>
      <c r="P94" s="43">
        <v>277</v>
      </c>
      <c r="Q94" s="44">
        <v>52.9</v>
      </c>
      <c r="R94" s="41">
        <v>50</v>
      </c>
      <c r="IA94" s="33"/>
      <c r="IB94" s="33"/>
      <c r="IC94" s="33"/>
      <c r="ID94" s="33"/>
      <c r="IE94" s="33"/>
      <c r="IF94" s="33"/>
      <c r="IG94" s="33"/>
      <c r="IH94" s="33"/>
    </row>
    <row r="95" spans="1:242" ht="15" customHeight="1">
      <c r="A95" s="65" t="s">
        <v>532</v>
      </c>
      <c r="B95" s="41">
        <v>2017</v>
      </c>
      <c r="C95" s="38" t="s">
        <v>206</v>
      </c>
      <c r="D95" s="42" t="s">
        <v>609</v>
      </c>
      <c r="E95" s="38" t="s">
        <v>533</v>
      </c>
      <c r="F95" s="38" t="s">
        <v>9</v>
      </c>
      <c r="G95" s="41">
        <v>2004</v>
      </c>
      <c r="H95" s="38" t="s">
        <v>534</v>
      </c>
      <c r="I95" s="38" t="s">
        <v>141</v>
      </c>
      <c r="J95" s="38" t="s">
        <v>23</v>
      </c>
      <c r="K95" s="38" t="s">
        <v>535</v>
      </c>
      <c r="L95" s="38" t="s">
        <v>10</v>
      </c>
      <c r="M95" s="38" t="s">
        <v>10</v>
      </c>
      <c r="N95" s="44" t="s">
        <v>10</v>
      </c>
      <c r="O95" s="43">
        <v>158</v>
      </c>
      <c r="P95" s="41">
        <v>80</v>
      </c>
      <c r="Q95" s="44">
        <v>51</v>
      </c>
      <c r="R95" s="41">
        <v>51</v>
      </c>
      <c r="IA95" s="33"/>
      <c r="IB95" s="33"/>
      <c r="IC95" s="33"/>
      <c r="ID95" s="33"/>
      <c r="IE95" s="33"/>
      <c r="IF95" s="33"/>
      <c r="IG95" s="33"/>
      <c r="IH95" s="33"/>
    </row>
    <row r="96" spans="1:242" ht="15" customHeight="1">
      <c r="A96" s="65" t="s">
        <v>532</v>
      </c>
      <c r="B96" s="41">
        <v>2017</v>
      </c>
      <c r="C96" s="38" t="s">
        <v>206</v>
      </c>
      <c r="D96" s="42" t="s">
        <v>609</v>
      </c>
      <c r="E96" s="38" t="s">
        <v>533</v>
      </c>
      <c r="F96" s="38" t="s">
        <v>9</v>
      </c>
      <c r="G96" s="41">
        <v>2004</v>
      </c>
      <c r="H96" s="38" t="s">
        <v>534</v>
      </c>
      <c r="I96" s="38" t="s">
        <v>141</v>
      </c>
      <c r="J96" s="38" t="s">
        <v>23</v>
      </c>
      <c r="K96" s="38" t="s">
        <v>251</v>
      </c>
      <c r="L96" s="38" t="s">
        <v>10</v>
      </c>
      <c r="M96" s="38" t="s">
        <v>10</v>
      </c>
      <c r="N96" s="44" t="s">
        <v>10</v>
      </c>
      <c r="O96" s="43">
        <v>25</v>
      </c>
      <c r="P96" s="41">
        <v>12</v>
      </c>
      <c r="Q96" s="44">
        <v>55</v>
      </c>
      <c r="R96" s="41">
        <v>51</v>
      </c>
      <c r="IA96" s="33"/>
      <c r="IB96" s="33"/>
      <c r="IC96" s="33"/>
      <c r="ID96" s="33"/>
      <c r="IE96" s="33"/>
      <c r="IF96" s="33"/>
      <c r="IG96" s="33"/>
      <c r="IH96" s="33"/>
    </row>
    <row r="97" spans="1:242" ht="15" customHeight="1">
      <c r="A97" s="65" t="s">
        <v>532</v>
      </c>
      <c r="B97" s="41">
        <v>2017</v>
      </c>
      <c r="C97" s="38" t="s">
        <v>206</v>
      </c>
      <c r="D97" s="42" t="s">
        <v>609</v>
      </c>
      <c r="E97" s="38" t="s">
        <v>533</v>
      </c>
      <c r="F97" s="38" t="s">
        <v>9</v>
      </c>
      <c r="G97" s="41">
        <v>2004</v>
      </c>
      <c r="H97" s="38" t="s">
        <v>534</v>
      </c>
      <c r="I97" s="38" t="s">
        <v>141</v>
      </c>
      <c r="J97" s="38" t="s">
        <v>23</v>
      </c>
      <c r="K97" s="38" t="s">
        <v>536</v>
      </c>
      <c r="L97" s="38" t="s">
        <v>10</v>
      </c>
      <c r="M97" s="38" t="s">
        <v>10</v>
      </c>
      <c r="N97" s="44" t="s">
        <v>10</v>
      </c>
      <c r="O97" s="43">
        <v>41</v>
      </c>
      <c r="P97" s="41">
        <v>16</v>
      </c>
      <c r="Q97" s="44">
        <v>39</v>
      </c>
      <c r="R97" s="41">
        <v>51</v>
      </c>
      <c r="IA97" s="33"/>
      <c r="IB97" s="33"/>
      <c r="IC97" s="33"/>
      <c r="ID97" s="33"/>
      <c r="IE97" s="33"/>
      <c r="IF97" s="33"/>
      <c r="IG97" s="33"/>
      <c r="IH97" s="33"/>
    </row>
    <row r="98" spans="1:242" ht="15" customHeight="1">
      <c r="A98" s="65" t="s">
        <v>532</v>
      </c>
      <c r="B98" s="41">
        <v>2017</v>
      </c>
      <c r="C98" s="38" t="s">
        <v>206</v>
      </c>
      <c r="D98" s="42" t="s">
        <v>609</v>
      </c>
      <c r="E98" s="38" t="s">
        <v>533</v>
      </c>
      <c r="F98" s="38" t="s">
        <v>9</v>
      </c>
      <c r="G98" s="41">
        <v>2004</v>
      </c>
      <c r="H98" s="38" t="s">
        <v>534</v>
      </c>
      <c r="I98" s="38" t="s">
        <v>141</v>
      </c>
      <c r="J98" s="38" t="s">
        <v>23</v>
      </c>
      <c r="K98" s="38" t="s">
        <v>537</v>
      </c>
      <c r="L98" s="38" t="s">
        <v>10</v>
      </c>
      <c r="M98" s="38" t="s">
        <v>10</v>
      </c>
      <c r="N98" s="44" t="s">
        <v>10</v>
      </c>
      <c r="O98" s="43">
        <v>71</v>
      </c>
      <c r="P98" s="41">
        <v>36</v>
      </c>
      <c r="Q98" s="44">
        <v>52</v>
      </c>
      <c r="R98" s="41">
        <v>51</v>
      </c>
      <c r="IA98" s="33"/>
      <c r="IB98" s="33"/>
      <c r="IC98" s="33"/>
      <c r="ID98" s="33"/>
      <c r="IE98" s="33"/>
      <c r="IF98" s="33"/>
      <c r="IG98" s="33"/>
      <c r="IH98" s="33"/>
    </row>
    <row r="99" spans="1:242" ht="15" customHeight="1">
      <c r="A99" s="65" t="s">
        <v>532</v>
      </c>
      <c r="B99" s="41">
        <v>2017</v>
      </c>
      <c r="C99" s="38" t="s">
        <v>206</v>
      </c>
      <c r="D99" s="42" t="s">
        <v>609</v>
      </c>
      <c r="E99" s="38" t="s">
        <v>533</v>
      </c>
      <c r="F99" s="38" t="s">
        <v>9</v>
      </c>
      <c r="G99" s="41">
        <v>2004</v>
      </c>
      <c r="H99" s="38" t="s">
        <v>534</v>
      </c>
      <c r="I99" s="38" t="s">
        <v>141</v>
      </c>
      <c r="J99" s="38" t="s">
        <v>23</v>
      </c>
      <c r="K99" s="38" t="s">
        <v>538</v>
      </c>
      <c r="L99" s="38" t="s">
        <v>10</v>
      </c>
      <c r="M99" s="38" t="s">
        <v>10</v>
      </c>
      <c r="N99" s="44" t="s">
        <v>10</v>
      </c>
      <c r="O99" s="43">
        <v>21</v>
      </c>
      <c r="P99" s="41">
        <v>16</v>
      </c>
      <c r="Q99" s="44">
        <v>80</v>
      </c>
      <c r="R99" s="41">
        <v>51</v>
      </c>
      <c r="IA99" s="33"/>
      <c r="IB99" s="33"/>
      <c r="IC99" s="33"/>
      <c r="ID99" s="33"/>
      <c r="IE99" s="33"/>
      <c r="IF99" s="33"/>
      <c r="IG99" s="33"/>
      <c r="IH99" s="33"/>
    </row>
    <row r="100" spans="1:242" ht="15" customHeight="1">
      <c r="A100" s="65" t="s">
        <v>539</v>
      </c>
      <c r="B100" s="41">
        <v>2018</v>
      </c>
      <c r="C100" s="38" t="s">
        <v>206</v>
      </c>
      <c r="D100" s="38" t="s">
        <v>509</v>
      </c>
      <c r="E100" s="38" t="s">
        <v>540</v>
      </c>
      <c r="F100" s="38" t="s">
        <v>9</v>
      </c>
      <c r="G100" s="38" t="s">
        <v>541</v>
      </c>
      <c r="H100" s="38" t="s">
        <v>542</v>
      </c>
      <c r="I100" s="38" t="s">
        <v>543</v>
      </c>
      <c r="J100" s="38" t="s">
        <v>11</v>
      </c>
      <c r="K100" s="38" t="s">
        <v>544</v>
      </c>
      <c r="L100" s="38" t="s">
        <v>10</v>
      </c>
      <c r="M100" s="38" t="s">
        <v>10</v>
      </c>
      <c r="N100" s="44" t="s">
        <v>10</v>
      </c>
      <c r="O100" s="43">
        <v>98</v>
      </c>
      <c r="P100" s="41">
        <v>48</v>
      </c>
      <c r="Q100" s="44">
        <v>49</v>
      </c>
      <c r="R100" s="41">
        <v>52</v>
      </c>
      <c r="IA100" s="33"/>
      <c r="IB100" s="33"/>
      <c r="IC100" s="33"/>
      <c r="ID100" s="33"/>
      <c r="IE100" s="33"/>
      <c r="IF100" s="33"/>
      <c r="IG100" s="33"/>
      <c r="IH100" s="33"/>
    </row>
    <row r="101" spans="1:242" ht="15" customHeight="1">
      <c r="A101" s="65" t="s">
        <v>545</v>
      </c>
      <c r="B101" s="41">
        <v>2015</v>
      </c>
      <c r="C101" s="38" t="s">
        <v>206</v>
      </c>
      <c r="D101" s="38" t="s">
        <v>518</v>
      </c>
      <c r="E101" s="38" t="s">
        <v>546</v>
      </c>
      <c r="F101" s="38" t="s">
        <v>9</v>
      </c>
      <c r="G101" s="38" t="s">
        <v>9</v>
      </c>
      <c r="H101" s="38" t="s">
        <v>547</v>
      </c>
      <c r="I101" s="38" t="s">
        <v>548</v>
      </c>
      <c r="J101" s="38" t="s">
        <v>11</v>
      </c>
      <c r="K101" s="38" t="s">
        <v>549</v>
      </c>
      <c r="L101" s="38" t="s">
        <v>10</v>
      </c>
      <c r="M101" s="38" t="s">
        <v>10</v>
      </c>
      <c r="N101" s="44" t="s">
        <v>10</v>
      </c>
      <c r="O101" s="43">
        <f>2226+279</f>
        <v>2505</v>
      </c>
      <c r="P101" s="43">
        <v>279</v>
      </c>
      <c r="Q101" s="44">
        <f>P101*100/O101</f>
        <v>11.137724550898204</v>
      </c>
      <c r="R101" s="41">
        <v>54</v>
      </c>
      <c r="IA101" s="33"/>
      <c r="IB101" s="33"/>
      <c r="IC101" s="33"/>
      <c r="ID101" s="33"/>
      <c r="IE101" s="33"/>
      <c r="IF101" s="33"/>
      <c r="IG101" s="33"/>
      <c r="IH101" s="33"/>
    </row>
    <row r="102" spans="1:242" ht="15" customHeight="1">
      <c r="A102" s="65" t="s">
        <v>550</v>
      </c>
      <c r="B102" s="41">
        <v>2014</v>
      </c>
      <c r="C102" s="38" t="s">
        <v>206</v>
      </c>
      <c r="D102" s="38" t="s">
        <v>411</v>
      </c>
      <c r="E102" s="38" t="s">
        <v>551</v>
      </c>
      <c r="F102" s="38" t="s">
        <v>9</v>
      </c>
      <c r="G102" s="38" t="s">
        <v>9</v>
      </c>
      <c r="H102" s="38" t="s">
        <v>552</v>
      </c>
      <c r="I102" s="38" t="s">
        <v>553</v>
      </c>
      <c r="J102" s="38" t="s">
        <v>11</v>
      </c>
      <c r="K102" s="38" t="s">
        <v>554</v>
      </c>
      <c r="L102" s="38" t="s">
        <v>555</v>
      </c>
      <c r="M102" s="38" t="s">
        <v>556</v>
      </c>
      <c r="N102" s="44">
        <f>(M102*100)/L102</f>
        <v>98.205128205128204</v>
      </c>
      <c r="O102" s="43">
        <v>390</v>
      </c>
      <c r="P102" s="43">
        <v>229</v>
      </c>
      <c r="Q102" s="44">
        <v>58.7</v>
      </c>
      <c r="R102" s="41">
        <v>55</v>
      </c>
      <c r="IA102" s="33"/>
      <c r="IB102" s="33"/>
      <c r="IC102" s="33"/>
      <c r="ID102" s="33"/>
      <c r="IE102" s="33"/>
      <c r="IF102" s="33"/>
      <c r="IG102" s="33"/>
      <c r="IH102" s="33"/>
    </row>
    <row r="103" spans="1:242" ht="15" customHeight="1">
      <c r="A103" s="65" t="s">
        <v>557</v>
      </c>
      <c r="B103" s="38" t="s">
        <v>558</v>
      </c>
      <c r="C103" s="38" t="s">
        <v>206</v>
      </c>
      <c r="D103" s="38" t="s">
        <v>411</v>
      </c>
      <c r="E103" s="38" t="s">
        <v>559</v>
      </c>
      <c r="F103" s="38" t="s">
        <v>487</v>
      </c>
      <c r="G103" s="38" t="s">
        <v>128</v>
      </c>
      <c r="H103" s="42" t="s">
        <v>560</v>
      </c>
      <c r="I103" s="38" t="s">
        <v>561</v>
      </c>
      <c r="J103" s="38" t="s">
        <v>11</v>
      </c>
      <c r="K103" s="38" t="s">
        <v>562</v>
      </c>
      <c r="L103" s="38" t="s">
        <v>10</v>
      </c>
      <c r="M103" s="38" t="s">
        <v>10</v>
      </c>
      <c r="N103" s="44" t="s">
        <v>10</v>
      </c>
      <c r="O103" s="43">
        <v>2529</v>
      </c>
      <c r="P103" s="43">
        <v>120</v>
      </c>
      <c r="Q103" s="44">
        <f>P103*100/O103</f>
        <v>4.7449584816132857</v>
      </c>
      <c r="R103" s="77" t="s">
        <v>645</v>
      </c>
      <c r="IA103" s="33"/>
      <c r="IB103" s="33"/>
      <c r="IC103" s="33"/>
      <c r="ID103" s="33"/>
      <c r="IE103" s="33"/>
      <c r="IF103" s="33"/>
      <c r="IG103" s="33"/>
      <c r="IH103" s="33"/>
    </row>
    <row r="104" spans="1:242" ht="15" customHeight="1">
      <c r="A104" s="65" t="s">
        <v>563</v>
      </c>
      <c r="B104" s="41">
        <v>2013</v>
      </c>
      <c r="C104" s="38" t="s">
        <v>206</v>
      </c>
      <c r="D104" s="38" t="s">
        <v>484</v>
      </c>
      <c r="E104" s="38" t="s">
        <v>564</v>
      </c>
      <c r="F104" s="38" t="s">
        <v>565</v>
      </c>
      <c r="G104" s="41">
        <v>2010</v>
      </c>
      <c r="H104" s="38" t="s">
        <v>566</v>
      </c>
      <c r="I104" s="38" t="s">
        <v>567</v>
      </c>
      <c r="J104" s="38" t="s">
        <v>11</v>
      </c>
      <c r="K104" s="38" t="s">
        <v>568</v>
      </c>
      <c r="L104" s="38" t="s">
        <v>10</v>
      </c>
      <c r="M104" s="38" t="s">
        <v>10</v>
      </c>
      <c r="N104" s="44" t="s">
        <v>10</v>
      </c>
      <c r="O104" s="43">
        <v>934</v>
      </c>
      <c r="P104" s="43">
        <v>145</v>
      </c>
      <c r="Q104" s="44">
        <f>P104*100/O104</f>
        <v>15.524625267665954</v>
      </c>
      <c r="R104" s="41">
        <v>59</v>
      </c>
      <c r="IA104" s="33"/>
      <c r="IB104" s="33"/>
      <c r="IC104" s="33"/>
      <c r="ID104" s="33"/>
      <c r="IE104" s="33"/>
      <c r="IF104" s="33"/>
      <c r="IG104" s="33"/>
      <c r="IH104" s="33"/>
    </row>
    <row r="105" spans="1:242" ht="15" customHeight="1">
      <c r="A105" s="65" t="s">
        <v>563</v>
      </c>
      <c r="B105" s="41">
        <v>2013</v>
      </c>
      <c r="C105" s="38" t="s">
        <v>206</v>
      </c>
      <c r="D105" s="38" t="s">
        <v>484</v>
      </c>
      <c r="E105" s="38" t="s">
        <v>564</v>
      </c>
      <c r="F105" s="38" t="s">
        <v>565</v>
      </c>
      <c r="G105" s="41">
        <v>2010</v>
      </c>
      <c r="H105" s="38" t="s">
        <v>566</v>
      </c>
      <c r="I105" s="38" t="s">
        <v>567</v>
      </c>
      <c r="J105" s="38" t="s">
        <v>11</v>
      </c>
      <c r="K105" s="42" t="s">
        <v>431</v>
      </c>
      <c r="L105" s="38" t="s">
        <v>10</v>
      </c>
      <c r="M105" s="38" t="s">
        <v>10</v>
      </c>
      <c r="N105" s="44" t="s">
        <v>10</v>
      </c>
      <c r="O105" s="43">
        <v>287</v>
      </c>
      <c r="P105" s="43">
        <f>Q105*O105/100</f>
        <v>32.143999999999998</v>
      </c>
      <c r="Q105" s="44">
        <v>11.2</v>
      </c>
      <c r="R105" s="41">
        <v>59</v>
      </c>
      <c r="IA105" s="33"/>
      <c r="IB105" s="33"/>
      <c r="IC105" s="33"/>
      <c r="ID105" s="33"/>
      <c r="IE105" s="33"/>
      <c r="IF105" s="33"/>
      <c r="IG105" s="33"/>
      <c r="IH105" s="33"/>
    </row>
    <row r="106" spans="1:242" ht="15" customHeight="1">
      <c r="A106" s="65" t="s">
        <v>563</v>
      </c>
      <c r="B106" s="41">
        <v>2013</v>
      </c>
      <c r="C106" s="38" t="s">
        <v>206</v>
      </c>
      <c r="D106" s="38" t="s">
        <v>484</v>
      </c>
      <c r="E106" s="38" t="s">
        <v>564</v>
      </c>
      <c r="F106" s="38" t="s">
        <v>565</v>
      </c>
      <c r="G106" s="41">
        <v>2010</v>
      </c>
      <c r="H106" s="38" t="s">
        <v>566</v>
      </c>
      <c r="I106" s="38" t="s">
        <v>567</v>
      </c>
      <c r="J106" s="38" t="s">
        <v>11</v>
      </c>
      <c r="K106" s="42" t="s">
        <v>220</v>
      </c>
      <c r="L106" s="38" t="s">
        <v>10</v>
      </c>
      <c r="M106" s="38" t="s">
        <v>10</v>
      </c>
      <c r="N106" s="44" t="s">
        <v>10</v>
      </c>
      <c r="O106" s="43">
        <v>426</v>
      </c>
      <c r="P106" s="43">
        <f>Q106*O106/100</f>
        <v>66.882000000000005</v>
      </c>
      <c r="Q106" s="44">
        <v>15.7</v>
      </c>
      <c r="R106" s="41">
        <v>59</v>
      </c>
      <c r="IA106" s="33"/>
      <c r="IB106" s="33"/>
      <c r="IC106" s="33"/>
      <c r="ID106" s="33"/>
      <c r="IE106" s="33"/>
      <c r="IF106" s="33"/>
      <c r="IG106" s="33"/>
      <c r="IH106" s="33"/>
    </row>
    <row r="107" spans="1:242" ht="15" customHeight="1">
      <c r="A107" s="65" t="s">
        <v>563</v>
      </c>
      <c r="B107" s="41">
        <v>2013</v>
      </c>
      <c r="C107" s="38" t="s">
        <v>206</v>
      </c>
      <c r="D107" s="38" t="s">
        <v>484</v>
      </c>
      <c r="E107" s="38" t="s">
        <v>564</v>
      </c>
      <c r="F107" s="38" t="s">
        <v>565</v>
      </c>
      <c r="G107" s="41">
        <v>2010</v>
      </c>
      <c r="H107" s="38" t="s">
        <v>566</v>
      </c>
      <c r="I107" s="38" t="s">
        <v>567</v>
      </c>
      <c r="J107" s="38" t="s">
        <v>11</v>
      </c>
      <c r="K107" s="42" t="s">
        <v>430</v>
      </c>
      <c r="L107" s="38" t="s">
        <v>10</v>
      </c>
      <c r="M107" s="38" t="s">
        <v>10</v>
      </c>
      <c r="N107" s="44" t="s">
        <v>10</v>
      </c>
      <c r="O107" s="43">
        <v>341</v>
      </c>
      <c r="P107" s="43">
        <f>Q107*O107/100</f>
        <v>60.698</v>
      </c>
      <c r="Q107" s="44">
        <v>17.8</v>
      </c>
      <c r="R107" s="41">
        <v>59</v>
      </c>
      <c r="IA107" s="33"/>
      <c r="IB107" s="33"/>
      <c r="IC107" s="33"/>
      <c r="ID107" s="33"/>
      <c r="IE107" s="33"/>
      <c r="IF107" s="33"/>
      <c r="IG107" s="33"/>
      <c r="IH107" s="33"/>
    </row>
    <row r="108" spans="1:242" ht="15" customHeight="1">
      <c r="A108" s="65" t="s">
        <v>563</v>
      </c>
      <c r="B108" s="41">
        <v>2013</v>
      </c>
      <c r="C108" s="38" t="s">
        <v>206</v>
      </c>
      <c r="D108" s="38" t="s">
        <v>484</v>
      </c>
      <c r="E108" s="38" t="s">
        <v>564</v>
      </c>
      <c r="F108" s="38" t="s">
        <v>565</v>
      </c>
      <c r="G108" s="41">
        <v>2010</v>
      </c>
      <c r="H108" s="38" t="s">
        <v>566</v>
      </c>
      <c r="I108" s="38" t="s">
        <v>567</v>
      </c>
      <c r="J108" s="38" t="s">
        <v>11</v>
      </c>
      <c r="K108" s="42" t="s">
        <v>421</v>
      </c>
      <c r="L108" s="38" t="s">
        <v>10</v>
      </c>
      <c r="M108" s="38" t="s">
        <v>10</v>
      </c>
      <c r="N108" s="44" t="s">
        <v>10</v>
      </c>
      <c r="O108" s="43">
        <v>141</v>
      </c>
      <c r="P108" s="43">
        <f>Q108*O108/100</f>
        <v>26.226000000000003</v>
      </c>
      <c r="Q108" s="44">
        <v>18.600000000000001</v>
      </c>
      <c r="R108" s="41">
        <v>59</v>
      </c>
      <c r="IA108" s="33"/>
      <c r="IB108" s="33"/>
      <c r="IC108" s="33"/>
      <c r="ID108" s="33"/>
      <c r="IE108" s="33"/>
      <c r="IF108" s="33"/>
      <c r="IG108" s="33"/>
      <c r="IH108" s="33"/>
    </row>
    <row r="109" spans="1:242" ht="15" customHeight="1">
      <c r="A109" s="65" t="s">
        <v>569</v>
      </c>
      <c r="B109" s="41">
        <v>2015</v>
      </c>
      <c r="C109" s="38" t="s">
        <v>206</v>
      </c>
      <c r="D109" s="38" t="s">
        <v>451</v>
      </c>
      <c r="E109" s="38" t="s">
        <v>570</v>
      </c>
      <c r="F109" s="38" t="s">
        <v>9</v>
      </c>
      <c r="G109" s="38" t="s">
        <v>128</v>
      </c>
      <c r="H109" s="38" t="s">
        <v>571</v>
      </c>
      <c r="I109" s="38" t="s">
        <v>572</v>
      </c>
      <c r="J109" s="38" t="s">
        <v>16</v>
      </c>
      <c r="K109" s="38" t="s">
        <v>573</v>
      </c>
      <c r="L109" s="38" t="s">
        <v>10</v>
      </c>
      <c r="M109" s="38" t="s">
        <v>10</v>
      </c>
      <c r="N109" s="44" t="s">
        <v>10</v>
      </c>
      <c r="O109" s="43">
        <f>79+96</f>
        <v>175</v>
      </c>
      <c r="P109" s="43">
        <f>28+5</f>
        <v>33</v>
      </c>
      <c r="Q109" s="44">
        <f>P109*100/O109</f>
        <v>18.857142857142858</v>
      </c>
      <c r="R109" s="41">
        <v>60</v>
      </c>
      <c r="IA109" s="33"/>
      <c r="IB109" s="33"/>
      <c r="IC109" s="33"/>
      <c r="ID109" s="33"/>
      <c r="IE109" s="33"/>
      <c r="IF109" s="33"/>
      <c r="IG109" s="33"/>
      <c r="IH109" s="33"/>
    </row>
    <row r="110" spans="1:242" ht="15" customHeight="1">
      <c r="A110" s="65" t="s">
        <v>569</v>
      </c>
      <c r="B110" s="41">
        <v>2015</v>
      </c>
      <c r="C110" s="38" t="s">
        <v>206</v>
      </c>
      <c r="D110" s="38" t="s">
        <v>451</v>
      </c>
      <c r="E110" s="38" t="s">
        <v>570</v>
      </c>
      <c r="F110" s="38" t="s">
        <v>9</v>
      </c>
      <c r="G110" s="38" t="s">
        <v>128</v>
      </c>
      <c r="H110" s="38" t="s">
        <v>571</v>
      </c>
      <c r="I110" s="38" t="s">
        <v>572</v>
      </c>
      <c r="J110" s="38" t="s">
        <v>23</v>
      </c>
      <c r="K110" s="38" t="s">
        <v>574</v>
      </c>
      <c r="L110" s="38" t="s">
        <v>10</v>
      </c>
      <c r="M110" s="38" t="s">
        <v>10</v>
      </c>
      <c r="N110" s="44" t="s">
        <v>10</v>
      </c>
      <c r="O110" s="43">
        <v>96</v>
      </c>
      <c r="P110" s="43">
        <v>5</v>
      </c>
      <c r="Q110" s="44">
        <f>P110*100/O110</f>
        <v>5.208333333333333</v>
      </c>
      <c r="R110" s="41">
        <v>60</v>
      </c>
      <c r="IA110" s="33"/>
      <c r="IB110" s="33"/>
      <c r="IC110" s="33"/>
      <c r="ID110" s="33"/>
      <c r="IE110" s="33"/>
      <c r="IF110" s="33"/>
      <c r="IG110" s="33"/>
      <c r="IH110" s="33"/>
    </row>
    <row r="111" spans="1:242" ht="15" customHeight="1">
      <c r="A111" s="65" t="s">
        <v>569</v>
      </c>
      <c r="B111" s="41">
        <v>2015</v>
      </c>
      <c r="C111" s="38" t="s">
        <v>206</v>
      </c>
      <c r="D111" s="38" t="s">
        <v>451</v>
      </c>
      <c r="E111" s="38" t="s">
        <v>570</v>
      </c>
      <c r="F111" s="38" t="s">
        <v>9</v>
      </c>
      <c r="G111" s="38" t="s">
        <v>128</v>
      </c>
      <c r="H111" s="38" t="s">
        <v>571</v>
      </c>
      <c r="I111" s="38" t="s">
        <v>572</v>
      </c>
      <c r="J111" s="38" t="s">
        <v>11</v>
      </c>
      <c r="K111" s="38" t="s">
        <v>575</v>
      </c>
      <c r="L111" s="38" t="s">
        <v>10</v>
      </c>
      <c r="M111" s="38" t="s">
        <v>10</v>
      </c>
      <c r="N111" s="44" t="s">
        <v>10</v>
      </c>
      <c r="O111" s="43">
        <v>79</v>
      </c>
      <c r="P111" s="43">
        <v>28</v>
      </c>
      <c r="Q111" s="44">
        <f>P111*100/O111</f>
        <v>35.443037974683541</v>
      </c>
      <c r="R111" s="41">
        <v>60</v>
      </c>
      <c r="IA111" s="33"/>
      <c r="IB111" s="33"/>
      <c r="IC111" s="33"/>
      <c r="ID111" s="33"/>
      <c r="IE111" s="33"/>
      <c r="IF111" s="33"/>
      <c r="IG111" s="33"/>
      <c r="IH111" s="33"/>
    </row>
    <row r="112" spans="1:242" ht="15" customHeight="1">
      <c r="A112" s="65" t="s">
        <v>576</v>
      </c>
      <c r="B112" s="41">
        <v>2018</v>
      </c>
      <c r="C112" s="38" t="s">
        <v>206</v>
      </c>
      <c r="D112" s="38" t="s">
        <v>411</v>
      </c>
      <c r="E112" s="38" t="s">
        <v>411</v>
      </c>
      <c r="F112" s="38" t="s">
        <v>9</v>
      </c>
      <c r="G112" s="41">
        <v>2003</v>
      </c>
      <c r="H112" s="38" t="s">
        <v>577</v>
      </c>
      <c r="I112" s="38" t="s">
        <v>10</v>
      </c>
      <c r="J112" s="38" t="s">
        <v>11</v>
      </c>
      <c r="K112" s="38" t="s">
        <v>578</v>
      </c>
      <c r="L112" s="38" t="s">
        <v>10</v>
      </c>
      <c r="M112" s="38" t="s">
        <v>10</v>
      </c>
      <c r="N112" s="44" t="s">
        <v>10</v>
      </c>
      <c r="O112" s="43">
        <v>388</v>
      </c>
      <c r="P112" s="43"/>
      <c r="Q112" s="44">
        <v>36.299999999999997</v>
      </c>
      <c r="R112" s="41">
        <v>61</v>
      </c>
      <c r="IA112" s="33"/>
      <c r="IB112" s="33"/>
      <c r="IC112" s="33"/>
      <c r="ID112" s="33"/>
      <c r="IE112" s="33"/>
      <c r="IF112" s="33"/>
      <c r="IG112" s="33"/>
      <c r="IH112" s="33"/>
    </row>
    <row r="113" spans="1:242" ht="15" customHeight="1">
      <c r="A113" s="65" t="s">
        <v>576</v>
      </c>
      <c r="B113" s="41">
        <v>2018</v>
      </c>
      <c r="C113" s="38" t="s">
        <v>206</v>
      </c>
      <c r="D113" s="38" t="s">
        <v>411</v>
      </c>
      <c r="E113" s="38" t="s">
        <v>411</v>
      </c>
      <c r="F113" s="38" t="s">
        <v>9</v>
      </c>
      <c r="G113" s="41">
        <v>2003</v>
      </c>
      <c r="H113" s="38" t="s">
        <v>577</v>
      </c>
      <c r="I113" s="38" t="s">
        <v>10</v>
      </c>
      <c r="J113" s="38" t="s">
        <v>11</v>
      </c>
      <c r="K113" s="38" t="s">
        <v>578</v>
      </c>
      <c r="L113" s="38" t="s">
        <v>10</v>
      </c>
      <c r="M113" s="38" t="s">
        <v>10</v>
      </c>
      <c r="N113" s="44" t="s">
        <v>10</v>
      </c>
      <c r="O113" s="43">
        <v>108</v>
      </c>
      <c r="P113" s="43"/>
      <c r="Q113" s="44">
        <v>53.7</v>
      </c>
      <c r="R113" s="41">
        <v>61</v>
      </c>
      <c r="IA113" s="33"/>
      <c r="IB113" s="33"/>
      <c r="IC113" s="33"/>
      <c r="ID113" s="33"/>
      <c r="IE113" s="33"/>
      <c r="IF113" s="33"/>
      <c r="IG113" s="33"/>
      <c r="IH113" s="33"/>
    </row>
    <row r="114" spans="1:242" ht="15" customHeight="1">
      <c r="A114" s="65" t="s">
        <v>576</v>
      </c>
      <c r="B114" s="41">
        <v>2018</v>
      </c>
      <c r="C114" s="38" t="s">
        <v>206</v>
      </c>
      <c r="D114" s="38" t="s">
        <v>411</v>
      </c>
      <c r="E114" s="38" t="s">
        <v>411</v>
      </c>
      <c r="F114" s="38" t="s">
        <v>9</v>
      </c>
      <c r="G114" s="41">
        <v>2010</v>
      </c>
      <c r="H114" s="42" t="s">
        <v>579</v>
      </c>
      <c r="I114" s="38" t="s">
        <v>10</v>
      </c>
      <c r="J114" s="38" t="s">
        <v>11</v>
      </c>
      <c r="K114" s="38" t="s">
        <v>578</v>
      </c>
      <c r="L114" s="38" t="s">
        <v>10</v>
      </c>
      <c r="M114" s="38" t="s">
        <v>10</v>
      </c>
      <c r="N114" s="44" t="s">
        <v>10</v>
      </c>
      <c r="O114" s="43">
        <v>238</v>
      </c>
      <c r="P114" s="43"/>
      <c r="Q114" s="44">
        <v>31.9</v>
      </c>
      <c r="R114" s="41">
        <v>61</v>
      </c>
      <c r="IA114" s="33"/>
      <c r="IB114" s="33"/>
      <c r="IC114" s="33"/>
      <c r="ID114" s="33"/>
      <c r="IE114" s="33"/>
      <c r="IF114" s="33"/>
      <c r="IG114" s="33"/>
      <c r="IH114" s="33"/>
    </row>
    <row r="115" spans="1:242" ht="15" customHeight="1">
      <c r="A115" s="65" t="s">
        <v>576</v>
      </c>
      <c r="B115" s="41">
        <v>2018</v>
      </c>
      <c r="C115" s="38" t="s">
        <v>206</v>
      </c>
      <c r="D115" s="38" t="s">
        <v>580</v>
      </c>
      <c r="E115" s="38" t="s">
        <v>9</v>
      </c>
      <c r="F115" s="38" t="s">
        <v>9</v>
      </c>
      <c r="G115" s="41">
        <v>2007</v>
      </c>
      <c r="H115" s="42" t="s">
        <v>579</v>
      </c>
      <c r="I115" s="38" t="s">
        <v>10</v>
      </c>
      <c r="J115" s="38" t="s">
        <v>11</v>
      </c>
      <c r="K115" s="38" t="s">
        <v>578</v>
      </c>
      <c r="L115" s="38" t="s">
        <v>10</v>
      </c>
      <c r="M115" s="38" t="s">
        <v>10</v>
      </c>
      <c r="N115" s="44" t="s">
        <v>10</v>
      </c>
      <c r="O115" s="43">
        <v>409</v>
      </c>
      <c r="P115" s="43"/>
      <c r="Q115" s="44">
        <v>50.9</v>
      </c>
      <c r="R115" s="41">
        <v>61</v>
      </c>
      <c r="IA115" s="33"/>
      <c r="IB115" s="33"/>
      <c r="IC115" s="33"/>
      <c r="ID115" s="33"/>
      <c r="IE115" s="33"/>
      <c r="IF115" s="33"/>
      <c r="IG115" s="33"/>
      <c r="IH115" s="33"/>
    </row>
    <row r="116" spans="1:242" ht="15" customHeight="1">
      <c r="A116" s="65" t="s">
        <v>576</v>
      </c>
      <c r="B116" s="41">
        <v>2018</v>
      </c>
      <c r="C116" s="38" t="s">
        <v>206</v>
      </c>
      <c r="D116" s="38" t="s">
        <v>411</v>
      </c>
      <c r="E116" s="38" t="s">
        <v>411</v>
      </c>
      <c r="F116" s="38" t="s">
        <v>9</v>
      </c>
      <c r="G116" s="41">
        <v>2003</v>
      </c>
      <c r="H116" s="38" t="s">
        <v>577</v>
      </c>
      <c r="I116" s="38" t="s">
        <v>10</v>
      </c>
      <c r="J116" s="38" t="s">
        <v>11</v>
      </c>
      <c r="K116" s="38" t="s">
        <v>581</v>
      </c>
      <c r="L116" s="38" t="s">
        <v>10</v>
      </c>
      <c r="M116" s="38" t="s">
        <v>10</v>
      </c>
      <c r="N116" s="44" t="s">
        <v>10</v>
      </c>
      <c r="O116" s="43">
        <v>290</v>
      </c>
      <c r="P116" s="43"/>
      <c r="Q116" s="44">
        <v>75.2</v>
      </c>
      <c r="R116" s="41">
        <v>61</v>
      </c>
      <c r="IA116" s="33"/>
      <c r="IB116" s="33"/>
      <c r="IC116" s="33"/>
      <c r="ID116" s="33"/>
      <c r="IE116" s="33"/>
      <c r="IF116" s="33"/>
      <c r="IG116" s="33"/>
      <c r="IH116" s="33"/>
    </row>
    <row r="117" spans="1:242" ht="15" customHeight="1">
      <c r="A117" s="65" t="s">
        <v>576</v>
      </c>
      <c r="B117" s="41">
        <v>2018</v>
      </c>
      <c r="C117" s="38" t="s">
        <v>206</v>
      </c>
      <c r="D117" s="38" t="s">
        <v>411</v>
      </c>
      <c r="E117" s="38" t="s">
        <v>411</v>
      </c>
      <c r="F117" s="38" t="s">
        <v>9</v>
      </c>
      <c r="G117" s="41">
        <v>2003</v>
      </c>
      <c r="H117" s="38" t="s">
        <v>577</v>
      </c>
      <c r="I117" s="38" t="s">
        <v>10</v>
      </c>
      <c r="J117" s="38" t="s">
        <v>11</v>
      </c>
      <c r="K117" s="38" t="s">
        <v>581</v>
      </c>
      <c r="L117" s="38" t="s">
        <v>10</v>
      </c>
      <c r="M117" s="38" t="s">
        <v>10</v>
      </c>
      <c r="N117" s="44" t="s">
        <v>10</v>
      </c>
      <c r="O117" s="43">
        <v>139</v>
      </c>
      <c r="P117" s="43"/>
      <c r="Q117" s="44">
        <v>87.1</v>
      </c>
      <c r="R117" s="41">
        <v>61</v>
      </c>
      <c r="IA117" s="33"/>
      <c r="IB117" s="33"/>
      <c r="IC117" s="33"/>
      <c r="ID117" s="33"/>
      <c r="IE117" s="33"/>
      <c r="IF117" s="33"/>
      <c r="IG117" s="33"/>
      <c r="IH117" s="33"/>
    </row>
    <row r="118" spans="1:242" ht="15" customHeight="1">
      <c r="A118" s="65" t="s">
        <v>576</v>
      </c>
      <c r="B118" s="41">
        <v>2018</v>
      </c>
      <c r="C118" s="38" t="s">
        <v>206</v>
      </c>
      <c r="D118" s="38" t="s">
        <v>411</v>
      </c>
      <c r="E118" s="38" t="s">
        <v>411</v>
      </c>
      <c r="F118" s="38" t="s">
        <v>9</v>
      </c>
      <c r="G118" s="41">
        <v>2010</v>
      </c>
      <c r="H118" s="42" t="s">
        <v>579</v>
      </c>
      <c r="I118" s="38" t="s">
        <v>10</v>
      </c>
      <c r="J118" s="38" t="s">
        <v>11</v>
      </c>
      <c r="K118" s="38" t="s">
        <v>581</v>
      </c>
      <c r="L118" s="38" t="s">
        <v>10</v>
      </c>
      <c r="M118" s="38" t="s">
        <v>10</v>
      </c>
      <c r="N118" s="44" t="s">
        <v>10</v>
      </c>
      <c r="O118" s="43">
        <v>101</v>
      </c>
      <c r="P118" s="43"/>
      <c r="Q118" s="44">
        <v>75.2</v>
      </c>
      <c r="R118" s="41">
        <v>61</v>
      </c>
      <c r="IA118" s="33"/>
      <c r="IB118" s="33"/>
      <c r="IC118" s="33"/>
      <c r="ID118" s="33"/>
      <c r="IE118" s="33"/>
      <c r="IF118" s="33"/>
      <c r="IG118" s="33"/>
      <c r="IH118" s="33"/>
    </row>
    <row r="119" spans="1:242" ht="15" customHeight="1">
      <c r="A119" s="65" t="s">
        <v>576</v>
      </c>
      <c r="B119" s="41">
        <v>2018</v>
      </c>
      <c r="C119" s="38" t="s">
        <v>206</v>
      </c>
      <c r="D119" s="38" t="s">
        <v>580</v>
      </c>
      <c r="E119" s="38" t="s">
        <v>9</v>
      </c>
      <c r="F119" s="38" t="s">
        <v>9</v>
      </c>
      <c r="G119" s="41">
        <v>2007</v>
      </c>
      <c r="H119" s="42" t="s">
        <v>579</v>
      </c>
      <c r="I119" s="38" t="s">
        <v>10</v>
      </c>
      <c r="J119" s="38" t="s">
        <v>11</v>
      </c>
      <c r="K119" s="38" t="s">
        <v>581</v>
      </c>
      <c r="L119" s="38" t="s">
        <v>10</v>
      </c>
      <c r="M119" s="38" t="s">
        <v>10</v>
      </c>
      <c r="N119" s="44" t="s">
        <v>10</v>
      </c>
      <c r="O119" s="43">
        <v>741</v>
      </c>
      <c r="P119" s="43"/>
      <c r="Q119" s="44">
        <v>68.8</v>
      </c>
      <c r="R119" s="41">
        <v>61</v>
      </c>
      <c r="IA119" s="33"/>
      <c r="IB119" s="33"/>
      <c r="IC119" s="33"/>
      <c r="ID119" s="33"/>
      <c r="IE119" s="33"/>
      <c r="IF119" s="33"/>
      <c r="IG119" s="33"/>
      <c r="IH119" s="33"/>
    </row>
    <row r="120" spans="1:242" ht="15" customHeight="1">
      <c r="A120" s="66" t="s">
        <v>17</v>
      </c>
      <c r="B120" s="2">
        <v>2013</v>
      </c>
      <c r="C120" s="1" t="s">
        <v>8</v>
      </c>
      <c r="D120" s="1" t="s">
        <v>18</v>
      </c>
      <c r="E120" s="1" t="s">
        <v>19</v>
      </c>
      <c r="F120" s="1" t="s">
        <v>20</v>
      </c>
      <c r="G120" s="1" t="s">
        <v>21</v>
      </c>
      <c r="H120" s="1" t="s">
        <v>22</v>
      </c>
      <c r="I120" s="1" t="s">
        <v>363</v>
      </c>
      <c r="J120" s="1" t="s">
        <v>16</v>
      </c>
      <c r="K120" s="25" t="s">
        <v>618</v>
      </c>
      <c r="L120" s="1" t="s">
        <v>10</v>
      </c>
      <c r="M120" s="1" t="s">
        <v>10</v>
      </c>
      <c r="N120" s="5" t="s">
        <v>10</v>
      </c>
      <c r="O120" s="4">
        <v>1058</v>
      </c>
      <c r="P120" s="4">
        <f>O120*Q120/100</f>
        <v>160.81599999999997</v>
      </c>
      <c r="Q120" s="5">
        <v>15.2</v>
      </c>
      <c r="R120" s="2">
        <v>62</v>
      </c>
      <c r="HZ120" s="34"/>
    </row>
    <row r="121" spans="1:242" ht="15" customHeight="1">
      <c r="A121" s="66" t="s">
        <v>17</v>
      </c>
      <c r="B121" s="2">
        <v>2013</v>
      </c>
      <c r="C121" s="1" t="s">
        <v>8</v>
      </c>
      <c r="D121" s="1" t="s">
        <v>18</v>
      </c>
      <c r="E121" s="1" t="s">
        <v>19</v>
      </c>
      <c r="F121" s="1" t="s">
        <v>20</v>
      </c>
      <c r="G121" s="1" t="s">
        <v>21</v>
      </c>
      <c r="H121" s="1" t="s">
        <v>22</v>
      </c>
      <c r="I121" s="1" t="s">
        <v>363</v>
      </c>
      <c r="J121" s="1" t="s">
        <v>23</v>
      </c>
      <c r="K121" s="25" t="s">
        <v>618</v>
      </c>
      <c r="L121" s="1" t="s">
        <v>10</v>
      </c>
      <c r="M121" s="1" t="s">
        <v>10</v>
      </c>
      <c r="N121" s="5" t="s">
        <v>10</v>
      </c>
      <c r="O121" s="4">
        <v>297</v>
      </c>
      <c r="P121" s="4">
        <f>O121*Q121/100</f>
        <v>32.076000000000001</v>
      </c>
      <c r="Q121" s="5">
        <v>10.8</v>
      </c>
      <c r="R121" s="2">
        <v>62</v>
      </c>
      <c r="HZ121" s="34"/>
    </row>
    <row r="122" spans="1:242" ht="15" customHeight="1">
      <c r="A122" s="66" t="s">
        <v>17</v>
      </c>
      <c r="B122" s="2">
        <v>2013</v>
      </c>
      <c r="C122" s="1" t="s">
        <v>8</v>
      </c>
      <c r="D122" s="1" t="s">
        <v>18</v>
      </c>
      <c r="E122" s="1" t="s">
        <v>19</v>
      </c>
      <c r="F122" s="1" t="s">
        <v>20</v>
      </c>
      <c r="G122" s="1" t="s">
        <v>21</v>
      </c>
      <c r="H122" s="1" t="s">
        <v>22</v>
      </c>
      <c r="I122" s="1" t="s">
        <v>363</v>
      </c>
      <c r="J122" s="1" t="s">
        <v>23</v>
      </c>
      <c r="K122" s="3" t="s">
        <v>24</v>
      </c>
      <c r="L122" s="1" t="s">
        <v>10</v>
      </c>
      <c r="M122" s="1" t="s">
        <v>10</v>
      </c>
      <c r="N122" s="5" t="s">
        <v>10</v>
      </c>
      <c r="O122" s="4"/>
      <c r="P122" s="4"/>
      <c r="Q122" s="5">
        <v>0</v>
      </c>
      <c r="R122" s="2">
        <v>62</v>
      </c>
      <c r="HZ122" s="34"/>
    </row>
    <row r="123" spans="1:242" ht="15" customHeight="1">
      <c r="A123" s="66" t="s">
        <v>17</v>
      </c>
      <c r="B123" s="2">
        <v>2013</v>
      </c>
      <c r="C123" s="1" t="s">
        <v>8</v>
      </c>
      <c r="D123" s="1" t="s">
        <v>18</v>
      </c>
      <c r="E123" s="1" t="s">
        <v>19</v>
      </c>
      <c r="F123" s="1" t="s">
        <v>20</v>
      </c>
      <c r="G123" s="1" t="s">
        <v>21</v>
      </c>
      <c r="H123" s="1" t="s">
        <v>22</v>
      </c>
      <c r="I123" s="1" t="s">
        <v>363</v>
      </c>
      <c r="J123" s="1" t="s">
        <v>23</v>
      </c>
      <c r="K123" s="3" t="s">
        <v>25</v>
      </c>
      <c r="L123" s="1" t="s">
        <v>10</v>
      </c>
      <c r="M123" s="1" t="s">
        <v>10</v>
      </c>
      <c r="N123" s="5" t="s">
        <v>10</v>
      </c>
      <c r="O123" s="4"/>
      <c r="P123" s="4"/>
      <c r="Q123" s="5">
        <v>4</v>
      </c>
      <c r="R123" s="2">
        <v>62</v>
      </c>
      <c r="HZ123" s="34"/>
    </row>
    <row r="124" spans="1:242" ht="15" customHeight="1">
      <c r="A124" s="66" t="s">
        <v>17</v>
      </c>
      <c r="B124" s="2">
        <v>2013</v>
      </c>
      <c r="C124" s="1" t="s">
        <v>8</v>
      </c>
      <c r="D124" s="1" t="s">
        <v>18</v>
      </c>
      <c r="E124" s="1" t="s">
        <v>19</v>
      </c>
      <c r="F124" s="1" t="s">
        <v>20</v>
      </c>
      <c r="G124" s="1" t="s">
        <v>21</v>
      </c>
      <c r="H124" s="1" t="s">
        <v>22</v>
      </c>
      <c r="I124" s="1" t="s">
        <v>363</v>
      </c>
      <c r="J124" s="1" t="s">
        <v>23</v>
      </c>
      <c r="K124" s="3" t="s">
        <v>26</v>
      </c>
      <c r="L124" s="1" t="s">
        <v>10</v>
      </c>
      <c r="M124" s="1" t="s">
        <v>10</v>
      </c>
      <c r="N124" s="5" t="s">
        <v>10</v>
      </c>
      <c r="O124" s="4"/>
      <c r="P124" s="4"/>
      <c r="Q124" s="5">
        <v>2</v>
      </c>
      <c r="R124" s="2">
        <v>62</v>
      </c>
      <c r="HZ124" s="34"/>
    </row>
    <row r="125" spans="1:242" ht="15" customHeight="1">
      <c r="A125" s="66" t="s">
        <v>17</v>
      </c>
      <c r="B125" s="2">
        <v>2013</v>
      </c>
      <c r="C125" s="1" t="s">
        <v>8</v>
      </c>
      <c r="D125" s="1" t="s">
        <v>18</v>
      </c>
      <c r="E125" s="1" t="s">
        <v>19</v>
      </c>
      <c r="F125" s="1" t="s">
        <v>20</v>
      </c>
      <c r="G125" s="1" t="s">
        <v>21</v>
      </c>
      <c r="H125" s="1" t="s">
        <v>22</v>
      </c>
      <c r="I125" s="1" t="s">
        <v>363</v>
      </c>
      <c r="J125" s="1" t="s">
        <v>23</v>
      </c>
      <c r="K125" s="3" t="s">
        <v>27</v>
      </c>
      <c r="L125" s="1" t="s">
        <v>10</v>
      </c>
      <c r="M125" s="1" t="s">
        <v>10</v>
      </c>
      <c r="N125" s="5" t="s">
        <v>10</v>
      </c>
      <c r="O125" s="4"/>
      <c r="P125" s="4"/>
      <c r="Q125" s="5">
        <v>18</v>
      </c>
      <c r="R125" s="2">
        <v>62</v>
      </c>
      <c r="HZ125" s="34"/>
    </row>
    <row r="126" spans="1:242" ht="15" customHeight="1">
      <c r="A126" s="66" t="s">
        <v>17</v>
      </c>
      <c r="B126" s="2">
        <v>2013</v>
      </c>
      <c r="C126" s="1" t="s">
        <v>8</v>
      </c>
      <c r="D126" s="1" t="s">
        <v>18</v>
      </c>
      <c r="E126" s="1" t="s">
        <v>19</v>
      </c>
      <c r="F126" s="1" t="s">
        <v>20</v>
      </c>
      <c r="G126" s="1" t="s">
        <v>21</v>
      </c>
      <c r="H126" s="1" t="s">
        <v>22</v>
      </c>
      <c r="I126" s="1" t="s">
        <v>363</v>
      </c>
      <c r="J126" s="1" t="s">
        <v>23</v>
      </c>
      <c r="K126" s="3" t="s">
        <v>28</v>
      </c>
      <c r="L126" s="1" t="s">
        <v>10</v>
      </c>
      <c r="M126" s="1" t="s">
        <v>10</v>
      </c>
      <c r="N126" s="5" t="s">
        <v>10</v>
      </c>
      <c r="O126" s="4"/>
      <c r="P126" s="4"/>
      <c r="Q126" s="5">
        <v>14.6</v>
      </c>
      <c r="R126" s="2">
        <v>62</v>
      </c>
      <c r="HZ126" s="34"/>
    </row>
    <row r="127" spans="1:242" ht="15" customHeight="1">
      <c r="A127" s="66" t="s">
        <v>17</v>
      </c>
      <c r="B127" s="2">
        <v>2013</v>
      </c>
      <c r="C127" s="1" t="s">
        <v>8</v>
      </c>
      <c r="D127" s="1" t="s">
        <v>18</v>
      </c>
      <c r="E127" s="1" t="s">
        <v>19</v>
      </c>
      <c r="F127" s="1" t="s">
        <v>20</v>
      </c>
      <c r="G127" s="1" t="s">
        <v>21</v>
      </c>
      <c r="H127" s="1" t="s">
        <v>22</v>
      </c>
      <c r="I127" s="1" t="s">
        <v>363</v>
      </c>
      <c r="J127" s="1" t="s">
        <v>23</v>
      </c>
      <c r="K127" s="3" t="s">
        <v>29</v>
      </c>
      <c r="L127" s="1" t="s">
        <v>10</v>
      </c>
      <c r="M127" s="1" t="s">
        <v>10</v>
      </c>
      <c r="N127" s="5" t="s">
        <v>10</v>
      </c>
      <c r="O127" s="4"/>
      <c r="P127" s="4"/>
      <c r="Q127" s="5">
        <v>27.1</v>
      </c>
      <c r="R127" s="2">
        <v>62</v>
      </c>
      <c r="HZ127" s="34"/>
    </row>
    <row r="128" spans="1:242" ht="15" customHeight="1">
      <c r="A128" s="66" t="s">
        <v>17</v>
      </c>
      <c r="B128" s="2">
        <v>2013</v>
      </c>
      <c r="C128" s="1" t="s">
        <v>8</v>
      </c>
      <c r="D128" s="1" t="s">
        <v>18</v>
      </c>
      <c r="E128" s="1" t="s">
        <v>19</v>
      </c>
      <c r="F128" s="1" t="s">
        <v>20</v>
      </c>
      <c r="G128" s="1" t="s">
        <v>21</v>
      </c>
      <c r="H128" s="1" t="s">
        <v>22</v>
      </c>
      <c r="I128" s="1" t="s">
        <v>363</v>
      </c>
      <c r="J128" s="1" t="s">
        <v>11</v>
      </c>
      <c r="K128" s="25" t="s">
        <v>618</v>
      </c>
      <c r="L128" s="1" t="s">
        <v>10</v>
      </c>
      <c r="M128" s="1" t="s">
        <v>10</v>
      </c>
      <c r="N128" s="5" t="s">
        <v>10</v>
      </c>
      <c r="O128" s="4">
        <v>761</v>
      </c>
      <c r="P128" s="4">
        <f>O128*Q128/100</f>
        <v>129.37</v>
      </c>
      <c r="Q128" s="5">
        <v>17</v>
      </c>
      <c r="R128" s="2">
        <v>62</v>
      </c>
      <c r="HZ128" s="34"/>
    </row>
    <row r="129" spans="1:234" ht="15" customHeight="1">
      <c r="A129" s="66" t="s">
        <v>17</v>
      </c>
      <c r="B129" s="2">
        <v>2013</v>
      </c>
      <c r="C129" s="1" t="s">
        <v>8</v>
      </c>
      <c r="D129" s="1" t="s">
        <v>18</v>
      </c>
      <c r="E129" s="1" t="s">
        <v>19</v>
      </c>
      <c r="F129" s="1" t="s">
        <v>20</v>
      </c>
      <c r="G129" s="1" t="s">
        <v>21</v>
      </c>
      <c r="H129" s="1" t="s">
        <v>22</v>
      </c>
      <c r="I129" s="1" t="s">
        <v>363</v>
      </c>
      <c r="J129" s="1" t="s">
        <v>11</v>
      </c>
      <c r="K129" s="3" t="s">
        <v>24</v>
      </c>
      <c r="L129" s="1" t="s">
        <v>10</v>
      </c>
      <c r="M129" s="1" t="s">
        <v>10</v>
      </c>
      <c r="N129" s="5" t="s">
        <v>10</v>
      </c>
      <c r="O129" s="4"/>
      <c r="P129" s="4"/>
      <c r="Q129" s="5">
        <v>11.2</v>
      </c>
      <c r="R129" s="2">
        <v>62</v>
      </c>
      <c r="HZ129" s="34"/>
    </row>
    <row r="130" spans="1:234" ht="15" customHeight="1">
      <c r="A130" s="66" t="s">
        <v>17</v>
      </c>
      <c r="B130" s="2">
        <v>2013</v>
      </c>
      <c r="C130" s="1" t="s">
        <v>8</v>
      </c>
      <c r="D130" s="1" t="s">
        <v>18</v>
      </c>
      <c r="E130" s="1" t="s">
        <v>19</v>
      </c>
      <c r="F130" s="1" t="s">
        <v>20</v>
      </c>
      <c r="G130" s="1" t="s">
        <v>21</v>
      </c>
      <c r="H130" s="1" t="s">
        <v>22</v>
      </c>
      <c r="I130" s="1" t="s">
        <v>363</v>
      </c>
      <c r="J130" s="1" t="s">
        <v>11</v>
      </c>
      <c r="K130" s="3" t="s">
        <v>25</v>
      </c>
      <c r="L130" s="1" t="s">
        <v>10</v>
      </c>
      <c r="M130" s="1" t="s">
        <v>10</v>
      </c>
      <c r="N130" s="5" t="s">
        <v>10</v>
      </c>
      <c r="O130" s="4"/>
      <c r="P130" s="4"/>
      <c r="Q130" s="5">
        <v>9</v>
      </c>
      <c r="R130" s="2">
        <v>62</v>
      </c>
      <c r="HZ130" s="34"/>
    </row>
    <row r="131" spans="1:234" ht="15" customHeight="1">
      <c r="A131" s="66" t="s">
        <v>17</v>
      </c>
      <c r="B131" s="2">
        <v>2013</v>
      </c>
      <c r="C131" s="1" t="s">
        <v>8</v>
      </c>
      <c r="D131" s="1" t="s">
        <v>18</v>
      </c>
      <c r="E131" s="1" t="s">
        <v>19</v>
      </c>
      <c r="F131" s="1" t="s">
        <v>20</v>
      </c>
      <c r="G131" s="1" t="s">
        <v>21</v>
      </c>
      <c r="H131" s="1" t="s">
        <v>22</v>
      </c>
      <c r="I131" s="1" t="s">
        <v>363</v>
      </c>
      <c r="J131" s="1" t="s">
        <v>11</v>
      </c>
      <c r="K131" s="3" t="s">
        <v>26</v>
      </c>
      <c r="L131" s="1" t="s">
        <v>10</v>
      </c>
      <c r="M131" s="1" t="s">
        <v>10</v>
      </c>
      <c r="N131" s="5" t="s">
        <v>10</v>
      </c>
      <c r="O131" s="4"/>
      <c r="P131" s="4"/>
      <c r="Q131" s="5">
        <v>14.6</v>
      </c>
      <c r="R131" s="2">
        <v>62</v>
      </c>
      <c r="HZ131" s="34"/>
    </row>
    <row r="132" spans="1:234" ht="15" customHeight="1">
      <c r="A132" s="66" t="s">
        <v>17</v>
      </c>
      <c r="B132" s="2">
        <v>2013</v>
      </c>
      <c r="C132" s="1" t="s">
        <v>8</v>
      </c>
      <c r="D132" s="1" t="s">
        <v>18</v>
      </c>
      <c r="E132" s="1" t="s">
        <v>19</v>
      </c>
      <c r="F132" s="1" t="s">
        <v>20</v>
      </c>
      <c r="G132" s="1" t="s">
        <v>21</v>
      </c>
      <c r="H132" s="1" t="s">
        <v>22</v>
      </c>
      <c r="I132" s="1" t="s">
        <v>363</v>
      </c>
      <c r="J132" s="1" t="s">
        <v>11</v>
      </c>
      <c r="K132" s="3" t="s">
        <v>27</v>
      </c>
      <c r="L132" s="1" t="s">
        <v>10</v>
      </c>
      <c r="M132" s="1" t="s">
        <v>10</v>
      </c>
      <c r="N132" s="5" t="s">
        <v>10</v>
      </c>
      <c r="O132" s="4"/>
      <c r="P132" s="4"/>
      <c r="Q132" s="5">
        <v>20.3</v>
      </c>
      <c r="R132" s="2">
        <v>62</v>
      </c>
      <c r="HZ132" s="34"/>
    </row>
    <row r="133" spans="1:234" ht="15" customHeight="1">
      <c r="A133" s="66" t="s">
        <v>17</v>
      </c>
      <c r="B133" s="2">
        <v>2013</v>
      </c>
      <c r="C133" s="1" t="s">
        <v>8</v>
      </c>
      <c r="D133" s="1" t="s">
        <v>18</v>
      </c>
      <c r="E133" s="1" t="s">
        <v>19</v>
      </c>
      <c r="F133" s="1" t="s">
        <v>20</v>
      </c>
      <c r="G133" s="1" t="s">
        <v>21</v>
      </c>
      <c r="H133" s="1" t="s">
        <v>22</v>
      </c>
      <c r="I133" s="1" t="s">
        <v>363</v>
      </c>
      <c r="J133" s="1" t="s">
        <v>11</v>
      </c>
      <c r="K133" s="3" t="s">
        <v>28</v>
      </c>
      <c r="L133" s="1" t="s">
        <v>10</v>
      </c>
      <c r="M133" s="1" t="s">
        <v>10</v>
      </c>
      <c r="N133" s="5" t="s">
        <v>10</v>
      </c>
      <c r="O133" s="4"/>
      <c r="P133" s="4"/>
      <c r="Q133" s="5">
        <v>21.1</v>
      </c>
      <c r="R133" s="2">
        <v>62</v>
      </c>
      <c r="HZ133" s="34"/>
    </row>
    <row r="134" spans="1:234" ht="15" customHeight="1">
      <c r="A134" s="66" t="s">
        <v>17</v>
      </c>
      <c r="B134" s="2">
        <v>2013</v>
      </c>
      <c r="C134" s="1" t="s">
        <v>8</v>
      </c>
      <c r="D134" s="1" t="s">
        <v>18</v>
      </c>
      <c r="E134" s="1" t="s">
        <v>19</v>
      </c>
      <c r="F134" s="1" t="s">
        <v>20</v>
      </c>
      <c r="G134" s="1" t="s">
        <v>21</v>
      </c>
      <c r="H134" s="1" t="s">
        <v>22</v>
      </c>
      <c r="I134" s="1" t="s">
        <v>363</v>
      </c>
      <c r="J134" s="1" t="s">
        <v>11</v>
      </c>
      <c r="K134" s="3" t="s">
        <v>29</v>
      </c>
      <c r="L134" s="1" t="s">
        <v>10</v>
      </c>
      <c r="M134" s="1" t="s">
        <v>10</v>
      </c>
      <c r="N134" s="5" t="s">
        <v>10</v>
      </c>
      <c r="O134" s="4"/>
      <c r="P134" s="4"/>
      <c r="Q134" s="5">
        <v>38.299999999999997</v>
      </c>
      <c r="R134" s="2">
        <v>62</v>
      </c>
      <c r="HZ134" s="34"/>
    </row>
    <row r="135" spans="1:234" ht="15" customHeight="1">
      <c r="A135" s="66" t="s">
        <v>30</v>
      </c>
      <c r="B135" s="2">
        <v>2016</v>
      </c>
      <c r="C135" s="1" t="s">
        <v>8</v>
      </c>
      <c r="D135" s="1" t="s">
        <v>367</v>
      </c>
      <c r="E135" s="1" t="s">
        <v>31</v>
      </c>
      <c r="F135" s="1" t="s">
        <v>9</v>
      </c>
      <c r="G135" s="1" t="s">
        <v>32</v>
      </c>
      <c r="H135" s="1" t="s">
        <v>22</v>
      </c>
      <c r="I135" s="1" t="s">
        <v>33</v>
      </c>
      <c r="J135" s="1" t="s">
        <v>16</v>
      </c>
      <c r="K135" s="3" t="s">
        <v>34</v>
      </c>
      <c r="L135" s="1" t="s">
        <v>10</v>
      </c>
      <c r="M135" s="1" t="s">
        <v>10</v>
      </c>
      <c r="N135" s="5" t="s">
        <v>10</v>
      </c>
      <c r="O135" s="4">
        <f t="shared" ref="O135:P139" si="7">O145+O140</f>
        <v>1243</v>
      </c>
      <c r="P135" s="4">
        <f t="shared" si="7"/>
        <v>234</v>
      </c>
      <c r="Q135" s="5">
        <f t="shared" ref="Q135:Q149" si="8">100*P135/O135</f>
        <v>18.825422365245373</v>
      </c>
      <c r="R135" s="2">
        <v>63</v>
      </c>
      <c r="HZ135" s="34"/>
    </row>
    <row r="136" spans="1:234" ht="15" customHeight="1">
      <c r="A136" s="66" t="s">
        <v>30</v>
      </c>
      <c r="B136" s="2">
        <v>2016</v>
      </c>
      <c r="C136" s="1" t="s">
        <v>8</v>
      </c>
      <c r="D136" s="1" t="s">
        <v>367</v>
      </c>
      <c r="E136" s="1" t="s">
        <v>31</v>
      </c>
      <c r="F136" s="1" t="s">
        <v>9</v>
      </c>
      <c r="G136" s="1" t="s">
        <v>32</v>
      </c>
      <c r="H136" s="1" t="s">
        <v>22</v>
      </c>
      <c r="I136" s="1" t="s">
        <v>33</v>
      </c>
      <c r="J136" s="1" t="s">
        <v>16</v>
      </c>
      <c r="K136" s="3" t="s">
        <v>35</v>
      </c>
      <c r="L136" s="1" t="s">
        <v>10</v>
      </c>
      <c r="M136" s="1" t="s">
        <v>10</v>
      </c>
      <c r="N136" s="5" t="s">
        <v>10</v>
      </c>
      <c r="O136" s="4">
        <f t="shared" si="7"/>
        <v>497</v>
      </c>
      <c r="P136" s="4">
        <f t="shared" si="7"/>
        <v>40</v>
      </c>
      <c r="Q136" s="5">
        <f t="shared" si="8"/>
        <v>8.0482897384305829</v>
      </c>
      <c r="R136" s="2">
        <v>63</v>
      </c>
      <c r="HZ136" s="34"/>
    </row>
    <row r="137" spans="1:234" ht="15" customHeight="1">
      <c r="A137" s="66" t="s">
        <v>30</v>
      </c>
      <c r="B137" s="2">
        <v>2016</v>
      </c>
      <c r="C137" s="1" t="s">
        <v>8</v>
      </c>
      <c r="D137" s="1" t="s">
        <v>367</v>
      </c>
      <c r="E137" s="1" t="s">
        <v>31</v>
      </c>
      <c r="F137" s="1" t="s">
        <v>9</v>
      </c>
      <c r="G137" s="1" t="s">
        <v>32</v>
      </c>
      <c r="H137" s="1" t="s">
        <v>22</v>
      </c>
      <c r="I137" s="1" t="s">
        <v>33</v>
      </c>
      <c r="J137" s="1" t="s">
        <v>16</v>
      </c>
      <c r="K137" s="3" t="s">
        <v>26</v>
      </c>
      <c r="L137" s="1" t="s">
        <v>10</v>
      </c>
      <c r="M137" s="1" t="s">
        <v>10</v>
      </c>
      <c r="N137" s="5" t="s">
        <v>10</v>
      </c>
      <c r="O137" s="4">
        <f t="shared" si="7"/>
        <v>296</v>
      </c>
      <c r="P137" s="4">
        <f t="shared" si="7"/>
        <v>63</v>
      </c>
      <c r="Q137" s="5">
        <f t="shared" si="8"/>
        <v>21.283783783783782</v>
      </c>
      <c r="R137" s="2">
        <v>63</v>
      </c>
      <c r="HZ137" s="34"/>
    </row>
    <row r="138" spans="1:234" ht="15" customHeight="1">
      <c r="A138" s="66" t="s">
        <v>30</v>
      </c>
      <c r="B138" s="2">
        <v>2016</v>
      </c>
      <c r="C138" s="1" t="s">
        <v>8</v>
      </c>
      <c r="D138" s="1" t="s">
        <v>367</v>
      </c>
      <c r="E138" s="1" t="s">
        <v>31</v>
      </c>
      <c r="F138" s="1" t="s">
        <v>9</v>
      </c>
      <c r="G138" s="1" t="s">
        <v>32</v>
      </c>
      <c r="H138" s="1" t="s">
        <v>22</v>
      </c>
      <c r="I138" s="1" t="s">
        <v>33</v>
      </c>
      <c r="J138" s="1" t="s">
        <v>16</v>
      </c>
      <c r="K138" s="3" t="s">
        <v>27</v>
      </c>
      <c r="L138" s="1" t="s">
        <v>10</v>
      </c>
      <c r="M138" s="1" t="s">
        <v>10</v>
      </c>
      <c r="N138" s="5" t="s">
        <v>10</v>
      </c>
      <c r="O138" s="4">
        <f t="shared" si="7"/>
        <v>278</v>
      </c>
      <c r="P138" s="4">
        <f t="shared" si="7"/>
        <v>77</v>
      </c>
      <c r="Q138" s="5">
        <f t="shared" si="8"/>
        <v>27.697841726618705</v>
      </c>
      <c r="R138" s="2">
        <v>63</v>
      </c>
      <c r="HZ138" s="34"/>
    </row>
    <row r="139" spans="1:234" ht="15" customHeight="1">
      <c r="A139" s="66" t="s">
        <v>30</v>
      </c>
      <c r="B139" s="2">
        <v>2016</v>
      </c>
      <c r="C139" s="1" t="s">
        <v>8</v>
      </c>
      <c r="D139" s="1" t="s">
        <v>367</v>
      </c>
      <c r="E139" s="1" t="s">
        <v>31</v>
      </c>
      <c r="F139" s="1" t="s">
        <v>9</v>
      </c>
      <c r="G139" s="1" t="s">
        <v>32</v>
      </c>
      <c r="H139" s="1" t="s">
        <v>22</v>
      </c>
      <c r="I139" s="1" t="s">
        <v>33</v>
      </c>
      <c r="J139" s="1" t="s">
        <v>16</v>
      </c>
      <c r="K139" s="3" t="s">
        <v>28</v>
      </c>
      <c r="L139" s="1" t="s">
        <v>10</v>
      </c>
      <c r="M139" s="1" t="s">
        <v>10</v>
      </c>
      <c r="N139" s="5" t="s">
        <v>10</v>
      </c>
      <c r="O139" s="4">
        <f t="shared" si="7"/>
        <v>172</v>
      </c>
      <c r="P139" s="4">
        <f t="shared" si="7"/>
        <v>54</v>
      </c>
      <c r="Q139" s="5">
        <f t="shared" si="8"/>
        <v>31.395348837209301</v>
      </c>
      <c r="R139" s="2">
        <v>63</v>
      </c>
      <c r="HZ139" s="34"/>
    </row>
    <row r="140" spans="1:234" ht="15" customHeight="1">
      <c r="A140" s="66" t="s">
        <v>30</v>
      </c>
      <c r="B140" s="2">
        <v>2016</v>
      </c>
      <c r="C140" s="1" t="s">
        <v>8</v>
      </c>
      <c r="D140" s="1" t="s">
        <v>367</v>
      </c>
      <c r="E140" s="1" t="s">
        <v>31</v>
      </c>
      <c r="F140" s="1" t="s">
        <v>9</v>
      </c>
      <c r="G140" s="1" t="s">
        <v>32</v>
      </c>
      <c r="H140" s="1" t="s">
        <v>22</v>
      </c>
      <c r="I140" s="1" t="s">
        <v>33</v>
      </c>
      <c r="J140" s="1" t="s">
        <v>23</v>
      </c>
      <c r="K140" s="3" t="s">
        <v>36</v>
      </c>
      <c r="L140" s="1" t="s">
        <v>10</v>
      </c>
      <c r="M140" s="1" t="s">
        <v>10</v>
      </c>
      <c r="N140" s="5" t="s">
        <v>10</v>
      </c>
      <c r="O140" s="4">
        <v>543</v>
      </c>
      <c r="P140" s="4">
        <f>7+17+26+16</f>
        <v>66</v>
      </c>
      <c r="Q140" s="5">
        <f t="shared" si="8"/>
        <v>12.154696132596685</v>
      </c>
      <c r="R140" s="2">
        <v>63</v>
      </c>
      <c r="HZ140" s="34"/>
    </row>
    <row r="141" spans="1:234" ht="15" customHeight="1">
      <c r="A141" s="66" t="s">
        <v>30</v>
      </c>
      <c r="B141" s="2">
        <v>2016</v>
      </c>
      <c r="C141" s="1" t="s">
        <v>8</v>
      </c>
      <c r="D141" s="1" t="s">
        <v>367</v>
      </c>
      <c r="E141" s="1" t="s">
        <v>31</v>
      </c>
      <c r="F141" s="1" t="s">
        <v>9</v>
      </c>
      <c r="G141" s="1" t="s">
        <v>32</v>
      </c>
      <c r="H141" s="1" t="s">
        <v>22</v>
      </c>
      <c r="I141" s="1" t="s">
        <v>33</v>
      </c>
      <c r="J141" s="1" t="s">
        <v>23</v>
      </c>
      <c r="K141" s="3" t="s">
        <v>35</v>
      </c>
      <c r="L141" s="1" t="s">
        <v>10</v>
      </c>
      <c r="M141" s="1" t="s">
        <v>10</v>
      </c>
      <c r="N141" s="5" t="s">
        <v>10</v>
      </c>
      <c r="O141" s="4">
        <v>204</v>
      </c>
      <c r="P141" s="4">
        <v>7</v>
      </c>
      <c r="Q141" s="5">
        <f t="shared" si="8"/>
        <v>3.4313725490196076</v>
      </c>
      <c r="R141" s="2">
        <v>63</v>
      </c>
      <c r="HZ141" s="34"/>
    </row>
    <row r="142" spans="1:234" ht="15" customHeight="1">
      <c r="A142" s="66" t="s">
        <v>30</v>
      </c>
      <c r="B142" s="2">
        <v>2016</v>
      </c>
      <c r="C142" s="1" t="s">
        <v>8</v>
      </c>
      <c r="D142" s="1" t="s">
        <v>367</v>
      </c>
      <c r="E142" s="1" t="s">
        <v>31</v>
      </c>
      <c r="F142" s="1" t="s">
        <v>9</v>
      </c>
      <c r="G142" s="1" t="s">
        <v>32</v>
      </c>
      <c r="H142" s="1" t="s">
        <v>22</v>
      </c>
      <c r="I142" s="1" t="s">
        <v>33</v>
      </c>
      <c r="J142" s="1" t="s">
        <v>23</v>
      </c>
      <c r="K142" s="3" t="s">
        <v>26</v>
      </c>
      <c r="L142" s="1" t="s">
        <v>10</v>
      </c>
      <c r="M142" s="1" t="s">
        <v>10</v>
      </c>
      <c r="N142" s="5" t="s">
        <v>10</v>
      </c>
      <c r="O142" s="4">
        <v>128</v>
      </c>
      <c r="P142" s="4">
        <v>17</v>
      </c>
      <c r="Q142" s="5">
        <f t="shared" si="8"/>
        <v>13.28125</v>
      </c>
      <c r="R142" s="2">
        <v>63</v>
      </c>
      <c r="HZ142" s="34"/>
    </row>
    <row r="143" spans="1:234" ht="15" customHeight="1">
      <c r="A143" s="66" t="s">
        <v>30</v>
      </c>
      <c r="B143" s="2">
        <v>2016</v>
      </c>
      <c r="C143" s="1" t="s">
        <v>8</v>
      </c>
      <c r="D143" s="1" t="s">
        <v>367</v>
      </c>
      <c r="E143" s="1" t="s">
        <v>31</v>
      </c>
      <c r="F143" s="1" t="s">
        <v>9</v>
      </c>
      <c r="G143" s="1" t="s">
        <v>32</v>
      </c>
      <c r="H143" s="1" t="s">
        <v>22</v>
      </c>
      <c r="I143" s="1" t="s">
        <v>33</v>
      </c>
      <c r="J143" s="1" t="s">
        <v>23</v>
      </c>
      <c r="K143" s="3" t="s">
        <v>27</v>
      </c>
      <c r="L143" s="1" t="s">
        <v>10</v>
      </c>
      <c r="M143" s="1" t="s">
        <v>10</v>
      </c>
      <c r="N143" s="5" t="s">
        <v>10</v>
      </c>
      <c r="O143" s="4">
        <v>131</v>
      </c>
      <c r="P143" s="4">
        <v>26</v>
      </c>
      <c r="Q143" s="5">
        <f t="shared" si="8"/>
        <v>19.847328244274809</v>
      </c>
      <c r="R143" s="2">
        <v>63</v>
      </c>
      <c r="HZ143" s="34"/>
    </row>
    <row r="144" spans="1:234" ht="15" customHeight="1">
      <c r="A144" s="66" t="s">
        <v>30</v>
      </c>
      <c r="B144" s="2">
        <v>2016</v>
      </c>
      <c r="C144" s="1" t="s">
        <v>8</v>
      </c>
      <c r="D144" s="1" t="s">
        <v>367</v>
      </c>
      <c r="E144" s="1" t="s">
        <v>31</v>
      </c>
      <c r="F144" s="1" t="s">
        <v>9</v>
      </c>
      <c r="G144" s="1" t="s">
        <v>32</v>
      </c>
      <c r="H144" s="1" t="s">
        <v>22</v>
      </c>
      <c r="I144" s="1" t="s">
        <v>33</v>
      </c>
      <c r="J144" s="1" t="s">
        <v>23</v>
      </c>
      <c r="K144" s="3" t="s">
        <v>28</v>
      </c>
      <c r="L144" s="1" t="s">
        <v>10</v>
      </c>
      <c r="M144" s="1" t="s">
        <v>10</v>
      </c>
      <c r="N144" s="5" t="s">
        <v>10</v>
      </c>
      <c r="O144" s="4">
        <v>80</v>
      </c>
      <c r="P144" s="4">
        <v>16</v>
      </c>
      <c r="Q144" s="5">
        <f t="shared" si="8"/>
        <v>20</v>
      </c>
      <c r="R144" s="2">
        <v>63</v>
      </c>
      <c r="HZ144" s="34"/>
    </row>
    <row r="145" spans="1:234" ht="15" customHeight="1">
      <c r="A145" s="66" t="s">
        <v>30</v>
      </c>
      <c r="B145" s="2">
        <v>2016</v>
      </c>
      <c r="C145" s="1" t="s">
        <v>8</v>
      </c>
      <c r="D145" s="1" t="s">
        <v>367</v>
      </c>
      <c r="E145" s="1" t="s">
        <v>31</v>
      </c>
      <c r="F145" s="1" t="s">
        <v>9</v>
      </c>
      <c r="G145" s="1" t="s">
        <v>32</v>
      </c>
      <c r="H145" s="1" t="s">
        <v>22</v>
      </c>
      <c r="I145" s="1" t="s">
        <v>33</v>
      </c>
      <c r="J145" s="1" t="s">
        <v>11</v>
      </c>
      <c r="K145" s="3" t="s">
        <v>37</v>
      </c>
      <c r="L145" s="1" t="s">
        <v>10</v>
      </c>
      <c r="M145" s="1" t="s">
        <v>10</v>
      </c>
      <c r="N145" s="5" t="s">
        <v>10</v>
      </c>
      <c r="O145" s="4">
        <v>700</v>
      </c>
      <c r="P145" s="4">
        <f>33+46+51+38</f>
        <v>168</v>
      </c>
      <c r="Q145" s="5">
        <f t="shared" si="8"/>
        <v>24</v>
      </c>
      <c r="R145" s="2">
        <v>63</v>
      </c>
      <c r="HZ145" s="34"/>
    </row>
    <row r="146" spans="1:234" ht="15" customHeight="1">
      <c r="A146" s="66" t="s">
        <v>30</v>
      </c>
      <c r="B146" s="2">
        <v>2016</v>
      </c>
      <c r="C146" s="1" t="s">
        <v>8</v>
      </c>
      <c r="D146" s="1" t="s">
        <v>367</v>
      </c>
      <c r="E146" s="1" t="s">
        <v>31</v>
      </c>
      <c r="F146" s="1" t="s">
        <v>9</v>
      </c>
      <c r="G146" s="1" t="s">
        <v>32</v>
      </c>
      <c r="H146" s="1" t="s">
        <v>22</v>
      </c>
      <c r="I146" s="1" t="s">
        <v>33</v>
      </c>
      <c r="J146" s="1" t="s">
        <v>11</v>
      </c>
      <c r="K146" s="3" t="s">
        <v>35</v>
      </c>
      <c r="L146" s="1" t="s">
        <v>10</v>
      </c>
      <c r="M146" s="1" t="s">
        <v>10</v>
      </c>
      <c r="N146" s="5" t="s">
        <v>10</v>
      </c>
      <c r="O146" s="4">
        <v>293</v>
      </c>
      <c r="P146" s="4">
        <v>33</v>
      </c>
      <c r="Q146" s="5">
        <f t="shared" si="8"/>
        <v>11.262798634812286</v>
      </c>
      <c r="R146" s="2">
        <v>63</v>
      </c>
      <c r="HZ146" s="34"/>
    </row>
    <row r="147" spans="1:234" ht="15" customHeight="1">
      <c r="A147" s="66" t="s">
        <v>30</v>
      </c>
      <c r="B147" s="2">
        <v>2016</v>
      </c>
      <c r="C147" s="1" t="s">
        <v>8</v>
      </c>
      <c r="D147" s="1" t="s">
        <v>367</v>
      </c>
      <c r="E147" s="1" t="s">
        <v>31</v>
      </c>
      <c r="F147" s="1" t="s">
        <v>9</v>
      </c>
      <c r="G147" s="1" t="s">
        <v>32</v>
      </c>
      <c r="H147" s="1" t="s">
        <v>22</v>
      </c>
      <c r="I147" s="1" t="s">
        <v>33</v>
      </c>
      <c r="J147" s="1" t="s">
        <v>11</v>
      </c>
      <c r="K147" s="3" t="s">
        <v>26</v>
      </c>
      <c r="L147" s="1" t="s">
        <v>10</v>
      </c>
      <c r="M147" s="1" t="s">
        <v>10</v>
      </c>
      <c r="N147" s="5" t="s">
        <v>10</v>
      </c>
      <c r="O147" s="4">
        <v>168</v>
      </c>
      <c r="P147" s="4">
        <v>46</v>
      </c>
      <c r="Q147" s="5">
        <f t="shared" si="8"/>
        <v>27.38095238095238</v>
      </c>
      <c r="R147" s="2">
        <v>63</v>
      </c>
      <c r="HZ147" s="34"/>
    </row>
    <row r="148" spans="1:234" ht="15" customHeight="1">
      <c r="A148" s="66" t="s">
        <v>30</v>
      </c>
      <c r="B148" s="2">
        <v>2016</v>
      </c>
      <c r="C148" s="1" t="s">
        <v>8</v>
      </c>
      <c r="D148" s="1" t="s">
        <v>367</v>
      </c>
      <c r="E148" s="1" t="s">
        <v>31</v>
      </c>
      <c r="F148" s="1" t="s">
        <v>9</v>
      </c>
      <c r="G148" s="1" t="s">
        <v>32</v>
      </c>
      <c r="H148" s="1" t="s">
        <v>22</v>
      </c>
      <c r="I148" s="1" t="s">
        <v>33</v>
      </c>
      <c r="J148" s="1" t="s">
        <v>11</v>
      </c>
      <c r="K148" s="3" t="s">
        <v>27</v>
      </c>
      <c r="L148" s="1" t="s">
        <v>10</v>
      </c>
      <c r="M148" s="1" t="s">
        <v>10</v>
      </c>
      <c r="N148" s="5" t="s">
        <v>10</v>
      </c>
      <c r="O148" s="4">
        <v>147</v>
      </c>
      <c r="P148" s="4">
        <v>51</v>
      </c>
      <c r="Q148" s="5">
        <f t="shared" si="8"/>
        <v>34.693877551020407</v>
      </c>
      <c r="R148" s="2">
        <v>63</v>
      </c>
      <c r="HZ148" s="34"/>
    </row>
    <row r="149" spans="1:234" ht="15" customHeight="1">
      <c r="A149" s="66" t="s">
        <v>30</v>
      </c>
      <c r="B149" s="2">
        <v>2016</v>
      </c>
      <c r="C149" s="1" t="s">
        <v>8</v>
      </c>
      <c r="D149" s="1" t="s">
        <v>367</v>
      </c>
      <c r="E149" s="1" t="s">
        <v>31</v>
      </c>
      <c r="F149" s="1" t="s">
        <v>9</v>
      </c>
      <c r="G149" s="1" t="s">
        <v>32</v>
      </c>
      <c r="H149" s="1" t="s">
        <v>22</v>
      </c>
      <c r="I149" s="1" t="s">
        <v>33</v>
      </c>
      <c r="J149" s="1" t="s">
        <v>11</v>
      </c>
      <c r="K149" s="3" t="s">
        <v>28</v>
      </c>
      <c r="L149" s="1" t="s">
        <v>10</v>
      </c>
      <c r="M149" s="1" t="s">
        <v>10</v>
      </c>
      <c r="N149" s="5" t="s">
        <v>10</v>
      </c>
      <c r="O149" s="4">
        <v>92</v>
      </c>
      <c r="P149" s="4">
        <v>38</v>
      </c>
      <c r="Q149" s="5">
        <f t="shared" si="8"/>
        <v>41.304347826086953</v>
      </c>
      <c r="R149" s="2">
        <v>63</v>
      </c>
      <c r="HZ149" s="34"/>
    </row>
    <row r="150" spans="1:234" ht="15" customHeight="1">
      <c r="A150" s="67" t="s">
        <v>392</v>
      </c>
      <c r="B150" s="2">
        <v>2013</v>
      </c>
      <c r="C150" s="16" t="s">
        <v>605</v>
      </c>
      <c r="D150" s="1" t="s">
        <v>15</v>
      </c>
      <c r="E150" s="16" t="s">
        <v>393</v>
      </c>
      <c r="F150" s="16" t="s">
        <v>9</v>
      </c>
      <c r="G150" s="16" t="s">
        <v>391</v>
      </c>
      <c r="H150" s="16" t="s">
        <v>57</v>
      </c>
      <c r="I150" s="16" t="s">
        <v>394</v>
      </c>
      <c r="J150" s="16" t="s">
        <v>11</v>
      </c>
      <c r="K150" s="25" t="s">
        <v>395</v>
      </c>
      <c r="L150" s="16" t="s">
        <v>10</v>
      </c>
      <c r="M150" s="16" t="s">
        <v>10</v>
      </c>
      <c r="N150" s="83" t="s">
        <v>10</v>
      </c>
      <c r="O150" s="4">
        <v>487</v>
      </c>
      <c r="P150" s="4">
        <v>32</v>
      </c>
      <c r="Q150" s="5">
        <v>6.6</v>
      </c>
      <c r="R150" s="2">
        <v>64</v>
      </c>
      <c r="HZ150" s="34"/>
    </row>
    <row r="151" spans="1:234" ht="15" customHeight="1">
      <c r="A151" s="67" t="s">
        <v>392</v>
      </c>
      <c r="B151" s="2">
        <v>2013</v>
      </c>
      <c r="C151" s="16" t="s">
        <v>605</v>
      </c>
      <c r="D151" s="1" t="s">
        <v>15</v>
      </c>
      <c r="E151" s="16" t="s">
        <v>393</v>
      </c>
      <c r="F151" s="16" t="s">
        <v>9</v>
      </c>
      <c r="G151" s="16" t="s">
        <v>391</v>
      </c>
      <c r="H151" s="16" t="s">
        <v>57</v>
      </c>
      <c r="I151" s="16" t="s">
        <v>394</v>
      </c>
      <c r="J151" s="16" t="s">
        <v>11</v>
      </c>
      <c r="K151" s="25" t="s">
        <v>396</v>
      </c>
      <c r="L151" s="16" t="s">
        <v>10</v>
      </c>
      <c r="M151" s="16" t="s">
        <v>10</v>
      </c>
      <c r="N151" s="83" t="s">
        <v>10</v>
      </c>
      <c r="O151" s="4">
        <v>15</v>
      </c>
      <c r="P151" s="4">
        <v>0</v>
      </c>
      <c r="Q151" s="5">
        <v>0</v>
      </c>
      <c r="R151" s="2">
        <v>64</v>
      </c>
      <c r="HZ151" s="34"/>
    </row>
    <row r="152" spans="1:234" ht="15" customHeight="1">
      <c r="A152" s="67" t="s">
        <v>392</v>
      </c>
      <c r="B152" s="2">
        <v>2013</v>
      </c>
      <c r="C152" s="16" t="s">
        <v>605</v>
      </c>
      <c r="D152" s="1" t="s">
        <v>15</v>
      </c>
      <c r="E152" s="16" t="s">
        <v>393</v>
      </c>
      <c r="F152" s="16" t="s">
        <v>9</v>
      </c>
      <c r="G152" s="16" t="s">
        <v>391</v>
      </c>
      <c r="H152" s="16" t="s">
        <v>57</v>
      </c>
      <c r="I152" s="16" t="s">
        <v>394</v>
      </c>
      <c r="J152" s="16" t="s">
        <v>11</v>
      </c>
      <c r="K152" s="25" t="s">
        <v>397</v>
      </c>
      <c r="L152" s="16" t="s">
        <v>10</v>
      </c>
      <c r="M152" s="16" t="s">
        <v>10</v>
      </c>
      <c r="N152" s="83" t="s">
        <v>10</v>
      </c>
      <c r="O152" s="4">
        <v>243</v>
      </c>
      <c r="P152" s="4">
        <v>15</v>
      </c>
      <c r="Q152" s="5">
        <v>46.8</v>
      </c>
      <c r="R152" s="2">
        <v>64</v>
      </c>
      <c r="HZ152" s="34"/>
    </row>
    <row r="153" spans="1:234" ht="15" customHeight="1">
      <c r="A153" s="67" t="s">
        <v>392</v>
      </c>
      <c r="B153" s="2">
        <v>2013</v>
      </c>
      <c r="C153" s="16" t="s">
        <v>605</v>
      </c>
      <c r="D153" s="1" t="s">
        <v>15</v>
      </c>
      <c r="E153" s="16" t="s">
        <v>393</v>
      </c>
      <c r="F153" s="16" t="s">
        <v>9</v>
      </c>
      <c r="G153" s="16" t="s">
        <v>391</v>
      </c>
      <c r="H153" s="16" t="s">
        <v>57</v>
      </c>
      <c r="I153" s="16" t="s">
        <v>394</v>
      </c>
      <c r="J153" s="16" t="s">
        <v>11</v>
      </c>
      <c r="K153" s="25" t="s">
        <v>211</v>
      </c>
      <c r="L153" s="16" t="s">
        <v>10</v>
      </c>
      <c r="M153" s="16" t="s">
        <v>10</v>
      </c>
      <c r="N153" s="83" t="s">
        <v>10</v>
      </c>
      <c r="O153" s="4">
        <v>153</v>
      </c>
      <c r="P153" s="4">
        <v>11</v>
      </c>
      <c r="Q153" s="5">
        <v>34.4</v>
      </c>
      <c r="R153" s="2">
        <v>64</v>
      </c>
      <c r="HZ153" s="34"/>
    </row>
    <row r="154" spans="1:234" ht="15" customHeight="1">
      <c r="A154" s="67" t="s">
        <v>392</v>
      </c>
      <c r="B154" s="2">
        <v>2013</v>
      </c>
      <c r="C154" s="16" t="s">
        <v>605</v>
      </c>
      <c r="D154" s="1" t="s">
        <v>15</v>
      </c>
      <c r="E154" s="16" t="s">
        <v>393</v>
      </c>
      <c r="F154" s="16" t="s">
        <v>9</v>
      </c>
      <c r="G154" s="16" t="s">
        <v>391</v>
      </c>
      <c r="H154" s="16" t="s">
        <v>57</v>
      </c>
      <c r="I154" s="16" t="s">
        <v>394</v>
      </c>
      <c r="J154" s="16" t="s">
        <v>11</v>
      </c>
      <c r="K154" s="25" t="s">
        <v>398</v>
      </c>
      <c r="L154" s="16" t="s">
        <v>10</v>
      </c>
      <c r="M154" s="16" t="s">
        <v>10</v>
      </c>
      <c r="N154" s="83" t="s">
        <v>10</v>
      </c>
      <c r="O154" s="4">
        <v>67</v>
      </c>
      <c r="P154" s="4">
        <v>6</v>
      </c>
      <c r="Q154" s="5">
        <v>18.8</v>
      </c>
      <c r="R154" s="2">
        <v>64</v>
      </c>
      <c r="HZ154" s="34"/>
    </row>
    <row r="155" spans="1:234" ht="15" customHeight="1">
      <c r="A155" s="66" t="s">
        <v>38</v>
      </c>
      <c r="B155" s="2">
        <v>2016</v>
      </c>
      <c r="C155" s="1" t="s">
        <v>8</v>
      </c>
      <c r="D155" s="1" t="s">
        <v>413</v>
      </c>
      <c r="E155" s="1" t="s">
        <v>39</v>
      </c>
      <c r="F155" s="1" t="s">
        <v>9</v>
      </c>
      <c r="G155" s="1" t="s">
        <v>40</v>
      </c>
      <c r="H155" s="1" t="s">
        <v>22</v>
      </c>
      <c r="I155" s="1" t="s">
        <v>41</v>
      </c>
      <c r="J155" s="1" t="s">
        <v>16</v>
      </c>
      <c r="K155" s="3" t="s">
        <v>42</v>
      </c>
      <c r="L155" s="4">
        <v>88</v>
      </c>
      <c r="M155" s="4">
        <v>43</v>
      </c>
      <c r="N155" s="5">
        <v>48</v>
      </c>
      <c r="O155" s="4">
        <v>88</v>
      </c>
      <c r="P155" s="4">
        <v>18</v>
      </c>
      <c r="Q155" s="5">
        <v>20</v>
      </c>
      <c r="R155" s="2">
        <v>65</v>
      </c>
      <c r="HZ155" s="34"/>
    </row>
    <row r="156" spans="1:234" ht="15" customHeight="1">
      <c r="A156" s="66" t="s">
        <v>47</v>
      </c>
      <c r="B156" s="2">
        <v>2015</v>
      </c>
      <c r="C156" s="1" t="s">
        <v>13</v>
      </c>
      <c r="D156" s="1" t="s">
        <v>610</v>
      </c>
      <c r="E156" s="1" t="s">
        <v>48</v>
      </c>
      <c r="F156" s="1" t="s">
        <v>49</v>
      </c>
      <c r="G156" s="1" t="s">
        <v>50</v>
      </c>
      <c r="H156" s="16" t="s">
        <v>416</v>
      </c>
      <c r="I156" s="1" t="s">
        <v>51</v>
      </c>
      <c r="J156" s="1" t="s">
        <v>23</v>
      </c>
      <c r="K156" s="3" t="s">
        <v>52</v>
      </c>
      <c r="L156" s="1" t="s">
        <v>10</v>
      </c>
      <c r="M156" s="1" t="s">
        <v>10</v>
      </c>
      <c r="N156" s="5" t="s">
        <v>10</v>
      </c>
      <c r="O156" s="4">
        <f>225+918</f>
        <v>1143</v>
      </c>
      <c r="P156" s="4">
        <v>225</v>
      </c>
      <c r="Q156" s="5">
        <f t="shared" ref="Q156" si="9">100*P156/O156</f>
        <v>19.685039370078741</v>
      </c>
      <c r="R156" s="2">
        <v>66</v>
      </c>
      <c r="HZ156" s="34"/>
    </row>
    <row r="157" spans="1:234" ht="15" customHeight="1">
      <c r="A157" s="66" t="s">
        <v>54</v>
      </c>
      <c r="B157" s="2">
        <v>2015</v>
      </c>
      <c r="C157" s="1" t="s">
        <v>8</v>
      </c>
      <c r="D157" s="1" t="s">
        <v>408</v>
      </c>
      <c r="E157" s="1" t="s">
        <v>43</v>
      </c>
      <c r="F157" s="1" t="s">
        <v>55</v>
      </c>
      <c r="G157" s="1" t="s">
        <v>56</v>
      </c>
      <c r="H157" s="1" t="s">
        <v>57</v>
      </c>
      <c r="I157" s="1" t="s">
        <v>364</v>
      </c>
      <c r="J157" s="1" t="s">
        <v>11</v>
      </c>
      <c r="K157" s="3" t="s">
        <v>58</v>
      </c>
      <c r="L157" s="1" t="s">
        <v>10</v>
      </c>
      <c r="M157" s="1" t="s">
        <v>10</v>
      </c>
      <c r="N157" s="5" t="s">
        <v>10</v>
      </c>
      <c r="O157" s="4">
        <f>121+819</f>
        <v>940</v>
      </c>
      <c r="P157" s="4">
        <v>121</v>
      </c>
      <c r="Q157" s="5">
        <f>P157*100/O157</f>
        <v>12.872340425531915</v>
      </c>
      <c r="R157" s="2">
        <v>67</v>
      </c>
      <c r="HZ157" s="34"/>
    </row>
    <row r="158" spans="1:234" ht="15" customHeight="1">
      <c r="A158" s="66" t="s">
        <v>59</v>
      </c>
      <c r="B158" s="2">
        <v>2013</v>
      </c>
      <c r="C158" s="1" t="s">
        <v>13</v>
      </c>
      <c r="D158" s="1" t="s">
        <v>414</v>
      </c>
      <c r="E158" s="16" t="s">
        <v>67</v>
      </c>
      <c r="F158" s="1" t="s">
        <v>60</v>
      </c>
      <c r="G158" s="2">
        <v>2010</v>
      </c>
      <c r="H158" s="1" t="s">
        <v>22</v>
      </c>
      <c r="I158" s="1" t="s">
        <v>61</v>
      </c>
      <c r="J158" s="1" t="s">
        <v>16</v>
      </c>
      <c r="K158" s="3" t="s">
        <v>62</v>
      </c>
      <c r="L158" s="4">
        <v>3646</v>
      </c>
      <c r="M158" s="4">
        <f>N158*L158/100</f>
        <v>2949.614</v>
      </c>
      <c r="N158" s="5">
        <v>80.900000000000006</v>
      </c>
      <c r="O158" s="4">
        <v>3616</v>
      </c>
      <c r="P158" s="4">
        <f>Q158*O158/100</f>
        <v>357.98400000000004</v>
      </c>
      <c r="Q158" s="5">
        <v>9.9</v>
      </c>
      <c r="R158" s="2">
        <v>68</v>
      </c>
      <c r="HZ158" s="34"/>
    </row>
    <row r="159" spans="1:234" ht="15" customHeight="1">
      <c r="A159" s="66" t="s">
        <v>59</v>
      </c>
      <c r="B159" s="2">
        <v>2013</v>
      </c>
      <c r="C159" s="1" t="s">
        <v>13</v>
      </c>
      <c r="D159" s="1" t="s">
        <v>414</v>
      </c>
      <c r="E159" s="16" t="s">
        <v>67</v>
      </c>
      <c r="F159" s="1" t="s">
        <v>60</v>
      </c>
      <c r="G159" s="2">
        <v>2010</v>
      </c>
      <c r="H159" s="1" t="s">
        <v>22</v>
      </c>
      <c r="I159" s="1" t="s">
        <v>61</v>
      </c>
      <c r="J159" s="1" t="s">
        <v>16</v>
      </c>
      <c r="K159" s="3" t="s">
        <v>63</v>
      </c>
      <c r="L159" s="4">
        <v>1030</v>
      </c>
      <c r="M159" s="4">
        <f>N159*L159/100</f>
        <v>502.64</v>
      </c>
      <c r="N159" s="5">
        <v>48.8</v>
      </c>
      <c r="O159" s="4">
        <v>1030</v>
      </c>
      <c r="P159" s="4">
        <f>Q159*O159/100</f>
        <v>26.78</v>
      </c>
      <c r="Q159" s="5">
        <v>2.6</v>
      </c>
      <c r="R159" s="2">
        <v>68</v>
      </c>
      <c r="HZ159" s="34"/>
    </row>
    <row r="160" spans="1:234" ht="15" customHeight="1">
      <c r="A160" s="66" t="s">
        <v>59</v>
      </c>
      <c r="B160" s="2">
        <v>2013</v>
      </c>
      <c r="C160" s="1" t="s">
        <v>13</v>
      </c>
      <c r="D160" s="1" t="s">
        <v>414</v>
      </c>
      <c r="E160" s="16" t="s">
        <v>67</v>
      </c>
      <c r="F160" s="1" t="s">
        <v>60</v>
      </c>
      <c r="G160" s="2">
        <v>2010</v>
      </c>
      <c r="H160" s="1" t="s">
        <v>22</v>
      </c>
      <c r="I160" s="1" t="s">
        <v>61</v>
      </c>
      <c r="J160" s="1" t="s">
        <v>16</v>
      </c>
      <c r="K160" s="3" t="s">
        <v>64</v>
      </c>
      <c r="L160" s="4">
        <v>1719</v>
      </c>
      <c r="M160" s="4">
        <f>N160*L160/100</f>
        <v>1222.2089999999998</v>
      </c>
      <c r="N160" s="5">
        <v>71.099999999999994</v>
      </c>
      <c r="O160" s="4">
        <v>1719</v>
      </c>
      <c r="P160" s="4">
        <f>Q160*O160/100</f>
        <v>49.850999999999992</v>
      </c>
      <c r="Q160" s="5">
        <v>2.9</v>
      </c>
      <c r="R160" s="2">
        <v>68</v>
      </c>
      <c r="HZ160" s="34"/>
    </row>
    <row r="161" spans="1:234" ht="15" customHeight="1">
      <c r="A161" s="66" t="s">
        <v>59</v>
      </c>
      <c r="B161" s="2">
        <v>2013</v>
      </c>
      <c r="C161" s="1" t="s">
        <v>13</v>
      </c>
      <c r="D161" s="1" t="s">
        <v>414</v>
      </c>
      <c r="E161" s="16" t="s">
        <v>67</v>
      </c>
      <c r="F161" s="1" t="s">
        <v>60</v>
      </c>
      <c r="G161" s="2">
        <v>2010</v>
      </c>
      <c r="H161" s="1" t="s">
        <v>22</v>
      </c>
      <c r="I161" s="1" t="s">
        <v>61</v>
      </c>
      <c r="J161" s="1" t="s">
        <v>16</v>
      </c>
      <c r="K161" s="3" t="s">
        <v>65</v>
      </c>
      <c r="L161" s="4">
        <v>905</v>
      </c>
      <c r="M161" s="4">
        <f>N161*L161/100</f>
        <v>844.36500000000001</v>
      </c>
      <c r="N161" s="5">
        <v>93.3</v>
      </c>
      <c r="O161" s="4">
        <v>905</v>
      </c>
      <c r="P161" s="4">
        <f>Q161*O161/100</f>
        <v>130.32</v>
      </c>
      <c r="Q161" s="5">
        <v>14.4</v>
      </c>
      <c r="R161" s="2">
        <v>68</v>
      </c>
      <c r="HZ161" s="34"/>
    </row>
    <row r="162" spans="1:234" ht="15" customHeight="1">
      <c r="A162" s="66" t="s">
        <v>66</v>
      </c>
      <c r="B162" s="2">
        <v>2018</v>
      </c>
      <c r="C162" s="16" t="s">
        <v>607</v>
      </c>
      <c r="D162" s="1" t="s">
        <v>415</v>
      </c>
      <c r="E162" s="1" t="s">
        <v>67</v>
      </c>
      <c r="F162" s="1" t="s">
        <v>9</v>
      </c>
      <c r="G162" s="1" t="s">
        <v>68</v>
      </c>
      <c r="H162" s="1" t="s">
        <v>69</v>
      </c>
      <c r="I162" s="1" t="s">
        <v>365</v>
      </c>
      <c r="J162" s="1" t="s">
        <v>23</v>
      </c>
      <c r="K162" s="3" t="s">
        <v>70</v>
      </c>
      <c r="L162" s="1" t="s">
        <v>10</v>
      </c>
      <c r="M162" s="1" t="s">
        <v>10</v>
      </c>
      <c r="N162" s="5" t="s">
        <v>10</v>
      </c>
      <c r="O162" s="4">
        <f>1955+116</f>
        <v>2071</v>
      </c>
      <c r="P162" s="4">
        <v>116</v>
      </c>
      <c r="Q162" s="5">
        <f>100*P162/O162</f>
        <v>5.6011588604538867</v>
      </c>
      <c r="R162" s="2">
        <v>69</v>
      </c>
      <c r="HZ162" s="34"/>
    </row>
    <row r="163" spans="1:234" ht="15" customHeight="1">
      <c r="A163" s="66" t="s">
        <v>66</v>
      </c>
      <c r="B163" s="2">
        <v>2018</v>
      </c>
      <c r="C163" s="16" t="s">
        <v>607</v>
      </c>
      <c r="D163" s="1" t="s">
        <v>415</v>
      </c>
      <c r="E163" s="1" t="s">
        <v>67</v>
      </c>
      <c r="F163" s="1" t="s">
        <v>9</v>
      </c>
      <c r="G163" s="1" t="s">
        <v>68</v>
      </c>
      <c r="H163" s="1" t="s">
        <v>69</v>
      </c>
      <c r="I163" s="1" t="s">
        <v>365</v>
      </c>
      <c r="J163" s="1" t="s">
        <v>23</v>
      </c>
      <c r="K163" s="3" t="s">
        <v>71</v>
      </c>
      <c r="L163" s="1" t="s">
        <v>10</v>
      </c>
      <c r="M163" s="1" t="s">
        <v>10</v>
      </c>
      <c r="N163" s="5" t="s">
        <v>10</v>
      </c>
      <c r="O163" s="4">
        <v>150</v>
      </c>
      <c r="P163" s="4">
        <v>2</v>
      </c>
      <c r="Q163" s="5">
        <f t="shared" ref="Q163:Q170" si="10">P163*100/O163</f>
        <v>1.3333333333333333</v>
      </c>
      <c r="R163" s="2">
        <v>69</v>
      </c>
      <c r="HZ163" s="34"/>
    </row>
    <row r="164" spans="1:234" ht="15" customHeight="1">
      <c r="A164" s="66" t="s">
        <v>66</v>
      </c>
      <c r="B164" s="2">
        <v>2018</v>
      </c>
      <c r="C164" s="16" t="s">
        <v>607</v>
      </c>
      <c r="D164" s="1" t="s">
        <v>415</v>
      </c>
      <c r="E164" s="1" t="s">
        <v>67</v>
      </c>
      <c r="F164" s="1" t="s">
        <v>9</v>
      </c>
      <c r="G164" s="1" t="s">
        <v>68</v>
      </c>
      <c r="H164" s="1" t="s">
        <v>69</v>
      </c>
      <c r="I164" s="1" t="s">
        <v>365</v>
      </c>
      <c r="J164" s="1" t="s">
        <v>23</v>
      </c>
      <c r="K164" s="3" t="s">
        <v>26</v>
      </c>
      <c r="L164" s="1" t="s">
        <v>10</v>
      </c>
      <c r="M164" s="1" t="s">
        <v>10</v>
      </c>
      <c r="N164" s="5" t="s">
        <v>10</v>
      </c>
      <c r="O164" s="4">
        <v>150</v>
      </c>
      <c r="P164" s="4">
        <v>3</v>
      </c>
      <c r="Q164" s="5">
        <f t="shared" si="10"/>
        <v>2</v>
      </c>
      <c r="R164" s="2">
        <v>69</v>
      </c>
      <c r="HZ164" s="34"/>
    </row>
    <row r="165" spans="1:234" ht="15" customHeight="1">
      <c r="A165" s="66" t="s">
        <v>66</v>
      </c>
      <c r="B165" s="2">
        <v>2018</v>
      </c>
      <c r="C165" s="16" t="s">
        <v>607</v>
      </c>
      <c r="D165" s="1" t="s">
        <v>415</v>
      </c>
      <c r="E165" s="1" t="s">
        <v>67</v>
      </c>
      <c r="F165" s="1" t="s">
        <v>9</v>
      </c>
      <c r="G165" s="1" t="s">
        <v>68</v>
      </c>
      <c r="H165" s="1" t="s">
        <v>69</v>
      </c>
      <c r="I165" s="1" t="s">
        <v>365</v>
      </c>
      <c r="J165" s="1" t="s">
        <v>23</v>
      </c>
      <c r="K165" s="3" t="s">
        <v>27</v>
      </c>
      <c r="L165" s="1" t="s">
        <v>10</v>
      </c>
      <c r="M165" s="1" t="s">
        <v>10</v>
      </c>
      <c r="N165" s="5" t="s">
        <v>10</v>
      </c>
      <c r="O165" s="4">
        <v>150</v>
      </c>
      <c r="P165" s="4">
        <v>5</v>
      </c>
      <c r="Q165" s="5">
        <f t="shared" si="10"/>
        <v>3.3333333333333335</v>
      </c>
      <c r="R165" s="2">
        <v>69</v>
      </c>
      <c r="HZ165" s="34"/>
    </row>
    <row r="166" spans="1:234" ht="15" customHeight="1">
      <c r="A166" s="66" t="s">
        <v>66</v>
      </c>
      <c r="B166" s="2">
        <v>2018</v>
      </c>
      <c r="C166" s="16" t="s">
        <v>607</v>
      </c>
      <c r="D166" s="1" t="s">
        <v>415</v>
      </c>
      <c r="E166" s="1" t="s">
        <v>67</v>
      </c>
      <c r="F166" s="1" t="s">
        <v>9</v>
      </c>
      <c r="G166" s="1" t="s">
        <v>68</v>
      </c>
      <c r="H166" s="1" t="s">
        <v>69</v>
      </c>
      <c r="I166" s="1" t="s">
        <v>365</v>
      </c>
      <c r="J166" s="1" t="s">
        <v>23</v>
      </c>
      <c r="K166" s="3" t="s">
        <v>28</v>
      </c>
      <c r="L166" s="1" t="s">
        <v>10</v>
      </c>
      <c r="M166" s="1" t="s">
        <v>10</v>
      </c>
      <c r="N166" s="5" t="s">
        <v>10</v>
      </c>
      <c r="O166" s="4">
        <v>150</v>
      </c>
      <c r="P166" s="4">
        <v>5</v>
      </c>
      <c r="Q166" s="5">
        <f t="shared" si="10"/>
        <v>3.3333333333333335</v>
      </c>
      <c r="R166" s="2">
        <v>69</v>
      </c>
      <c r="HZ166" s="34"/>
    </row>
    <row r="167" spans="1:234" ht="15" customHeight="1">
      <c r="A167" s="66" t="s">
        <v>66</v>
      </c>
      <c r="B167" s="2">
        <v>2018</v>
      </c>
      <c r="C167" s="16" t="s">
        <v>607</v>
      </c>
      <c r="D167" s="1" t="s">
        <v>415</v>
      </c>
      <c r="E167" s="1" t="s">
        <v>67</v>
      </c>
      <c r="F167" s="1" t="s">
        <v>9</v>
      </c>
      <c r="G167" s="1" t="s">
        <v>68</v>
      </c>
      <c r="H167" s="1" t="s">
        <v>69</v>
      </c>
      <c r="I167" s="1" t="s">
        <v>365</v>
      </c>
      <c r="J167" s="1" t="s">
        <v>23</v>
      </c>
      <c r="K167" s="3" t="s">
        <v>72</v>
      </c>
      <c r="L167" s="1" t="s">
        <v>10</v>
      </c>
      <c r="M167" s="1" t="s">
        <v>10</v>
      </c>
      <c r="N167" s="5" t="s">
        <v>10</v>
      </c>
      <c r="O167" s="4">
        <v>150</v>
      </c>
      <c r="P167" s="4">
        <v>8</v>
      </c>
      <c r="Q167" s="5">
        <f t="shared" si="10"/>
        <v>5.333333333333333</v>
      </c>
      <c r="R167" s="2">
        <v>69</v>
      </c>
      <c r="HZ167" s="34"/>
    </row>
    <row r="168" spans="1:234" ht="15" customHeight="1">
      <c r="A168" s="66" t="s">
        <v>66</v>
      </c>
      <c r="B168" s="2">
        <v>2018</v>
      </c>
      <c r="C168" s="16" t="s">
        <v>607</v>
      </c>
      <c r="D168" s="1" t="s">
        <v>415</v>
      </c>
      <c r="E168" s="1" t="s">
        <v>67</v>
      </c>
      <c r="F168" s="1" t="s">
        <v>9</v>
      </c>
      <c r="G168" s="1" t="s">
        <v>68</v>
      </c>
      <c r="H168" s="1" t="s">
        <v>69</v>
      </c>
      <c r="I168" s="1" t="s">
        <v>365</v>
      </c>
      <c r="J168" s="1" t="s">
        <v>23</v>
      </c>
      <c r="K168" s="3" t="s">
        <v>73</v>
      </c>
      <c r="L168" s="1" t="s">
        <v>10</v>
      </c>
      <c r="M168" s="1" t="s">
        <v>10</v>
      </c>
      <c r="N168" s="5" t="s">
        <v>10</v>
      </c>
      <c r="O168" s="4">
        <v>150</v>
      </c>
      <c r="P168" s="4">
        <v>6</v>
      </c>
      <c r="Q168" s="5">
        <f t="shared" si="10"/>
        <v>4</v>
      </c>
      <c r="R168" s="2">
        <v>69</v>
      </c>
      <c r="HZ168" s="34"/>
    </row>
    <row r="169" spans="1:234" ht="15" customHeight="1">
      <c r="A169" s="66" t="s">
        <v>66</v>
      </c>
      <c r="B169" s="2">
        <v>2018</v>
      </c>
      <c r="C169" s="16" t="s">
        <v>607</v>
      </c>
      <c r="D169" s="1" t="s">
        <v>415</v>
      </c>
      <c r="E169" s="1" t="s">
        <v>67</v>
      </c>
      <c r="F169" s="1" t="s">
        <v>9</v>
      </c>
      <c r="G169" s="1" t="s">
        <v>68</v>
      </c>
      <c r="H169" s="1" t="s">
        <v>69</v>
      </c>
      <c r="I169" s="1" t="s">
        <v>365</v>
      </c>
      <c r="J169" s="1" t="s">
        <v>23</v>
      </c>
      <c r="K169" s="3" t="s">
        <v>74</v>
      </c>
      <c r="L169" s="1" t="s">
        <v>10</v>
      </c>
      <c r="M169" s="1" t="s">
        <v>10</v>
      </c>
      <c r="N169" s="5" t="s">
        <v>10</v>
      </c>
      <c r="O169" s="4">
        <v>139</v>
      </c>
      <c r="P169" s="4">
        <v>3</v>
      </c>
      <c r="Q169" s="5">
        <f t="shared" si="10"/>
        <v>2.1582733812949639</v>
      </c>
      <c r="R169" s="2">
        <v>69</v>
      </c>
      <c r="HZ169" s="34"/>
    </row>
    <row r="170" spans="1:234" ht="15" customHeight="1">
      <c r="A170" s="66" t="s">
        <v>66</v>
      </c>
      <c r="B170" s="2">
        <v>2018</v>
      </c>
      <c r="C170" s="16" t="s">
        <v>607</v>
      </c>
      <c r="D170" s="1" t="s">
        <v>415</v>
      </c>
      <c r="E170" s="1" t="s">
        <v>67</v>
      </c>
      <c r="F170" s="1" t="s">
        <v>9</v>
      </c>
      <c r="G170" s="1" t="s">
        <v>68</v>
      </c>
      <c r="H170" s="1" t="s">
        <v>69</v>
      </c>
      <c r="I170" s="1" t="s">
        <v>365</v>
      </c>
      <c r="J170" s="1" t="s">
        <v>23</v>
      </c>
      <c r="K170" s="3" t="s">
        <v>75</v>
      </c>
      <c r="L170" s="1" t="s">
        <v>10</v>
      </c>
      <c r="M170" s="1" t="s">
        <v>10</v>
      </c>
      <c r="N170" s="5" t="s">
        <v>10</v>
      </c>
      <c r="O170" s="4">
        <v>119</v>
      </c>
      <c r="P170" s="4">
        <v>9</v>
      </c>
      <c r="Q170" s="5">
        <f t="shared" si="10"/>
        <v>7.5630252100840334</v>
      </c>
      <c r="R170" s="2">
        <v>69</v>
      </c>
      <c r="HZ170" s="34"/>
    </row>
    <row r="171" spans="1:234" ht="15" customHeight="1">
      <c r="A171" s="66" t="s">
        <v>76</v>
      </c>
      <c r="B171" s="2">
        <v>2015</v>
      </c>
      <c r="C171" s="1" t="s">
        <v>8</v>
      </c>
      <c r="D171" s="1" t="s">
        <v>611</v>
      </c>
      <c r="E171" s="1" t="s">
        <v>67</v>
      </c>
      <c r="F171" s="1" t="s">
        <v>77</v>
      </c>
      <c r="G171" s="1" t="s">
        <v>78</v>
      </c>
      <c r="H171" s="16" t="s">
        <v>417</v>
      </c>
      <c r="I171" s="1" t="s">
        <v>79</v>
      </c>
      <c r="J171" s="1" t="s">
        <v>16</v>
      </c>
      <c r="K171" s="3" t="s">
        <v>80</v>
      </c>
      <c r="L171" s="4">
        <v>162</v>
      </c>
      <c r="M171" s="4">
        <v>120</v>
      </c>
      <c r="N171" s="5">
        <v>42.6</v>
      </c>
      <c r="O171" s="4">
        <v>271</v>
      </c>
      <c r="P171" s="4">
        <v>11</v>
      </c>
      <c r="Q171" s="5">
        <v>3.9</v>
      </c>
      <c r="R171" s="2">
        <v>70</v>
      </c>
      <c r="HZ171" s="34"/>
    </row>
    <row r="172" spans="1:234" ht="15" customHeight="1">
      <c r="A172" s="66" t="s">
        <v>81</v>
      </c>
      <c r="B172" s="2">
        <v>2014</v>
      </c>
      <c r="C172" s="1" t="s">
        <v>13</v>
      </c>
      <c r="D172" s="1" t="s">
        <v>610</v>
      </c>
      <c r="E172" s="1" t="s">
        <v>82</v>
      </c>
      <c r="F172" s="1" t="s">
        <v>9</v>
      </c>
      <c r="G172" s="1" t="s">
        <v>83</v>
      </c>
      <c r="H172" s="1" t="s">
        <v>57</v>
      </c>
      <c r="I172" s="1" t="s">
        <v>84</v>
      </c>
      <c r="J172" s="1" t="s">
        <v>11</v>
      </c>
      <c r="K172" s="3" t="s">
        <v>85</v>
      </c>
      <c r="L172" s="4">
        <f>9897+9096</f>
        <v>18993</v>
      </c>
      <c r="M172" s="4">
        <f>6839+5955</f>
        <v>12794</v>
      </c>
      <c r="N172" s="5">
        <f>100*M172/L172</f>
        <v>67.361659558784822</v>
      </c>
      <c r="O172" s="4">
        <v>18993</v>
      </c>
      <c r="P172" s="4">
        <f>2981+1480</f>
        <v>4461</v>
      </c>
      <c r="Q172" s="5">
        <f>100*P172/O172</f>
        <v>23.487600694992892</v>
      </c>
      <c r="R172" s="2">
        <v>71</v>
      </c>
      <c r="HZ172" s="34"/>
    </row>
    <row r="173" spans="1:234" ht="15" customHeight="1">
      <c r="A173" s="66" t="s">
        <v>81</v>
      </c>
      <c r="B173" s="2">
        <v>2014</v>
      </c>
      <c r="C173" s="1" t="s">
        <v>13</v>
      </c>
      <c r="D173" s="1" t="s">
        <v>610</v>
      </c>
      <c r="E173" s="1" t="s">
        <v>82</v>
      </c>
      <c r="F173" s="1" t="s">
        <v>9</v>
      </c>
      <c r="G173" s="1" t="s">
        <v>86</v>
      </c>
      <c r="H173" s="1" t="s">
        <v>57</v>
      </c>
      <c r="I173" s="1" t="s">
        <v>84</v>
      </c>
      <c r="J173" s="1" t="s">
        <v>11</v>
      </c>
      <c r="K173" s="3" t="s">
        <v>85</v>
      </c>
      <c r="L173" s="4">
        <v>9897</v>
      </c>
      <c r="M173" s="4">
        <v>6839</v>
      </c>
      <c r="N173" s="5">
        <f>100*M173/L173</f>
        <v>69.101748004445795</v>
      </c>
      <c r="O173" s="4">
        <v>9897</v>
      </c>
      <c r="P173" s="4">
        <v>2981</v>
      </c>
      <c r="Q173" s="5">
        <f>100*P173/O173</f>
        <v>30.120238456097809</v>
      </c>
      <c r="R173" s="2">
        <v>71</v>
      </c>
      <c r="HZ173" s="34"/>
    </row>
    <row r="174" spans="1:234" ht="15" customHeight="1">
      <c r="A174" s="66" t="s">
        <v>81</v>
      </c>
      <c r="B174" s="2">
        <v>2014</v>
      </c>
      <c r="C174" s="1" t="s">
        <v>13</v>
      </c>
      <c r="D174" s="1" t="s">
        <v>610</v>
      </c>
      <c r="E174" s="1" t="s">
        <v>82</v>
      </c>
      <c r="F174" s="1" t="s">
        <v>9</v>
      </c>
      <c r="G174" s="1" t="s">
        <v>87</v>
      </c>
      <c r="H174" s="1" t="s">
        <v>57</v>
      </c>
      <c r="I174" s="1" t="s">
        <v>84</v>
      </c>
      <c r="J174" s="1" t="s">
        <v>11</v>
      </c>
      <c r="K174" s="3" t="s">
        <v>85</v>
      </c>
      <c r="L174" s="4">
        <v>9096</v>
      </c>
      <c r="M174" s="4">
        <v>5955</v>
      </c>
      <c r="N174" s="5">
        <f>100*M174/L174</f>
        <v>65.468337730870715</v>
      </c>
      <c r="O174" s="4">
        <v>9096</v>
      </c>
      <c r="P174" s="4">
        <v>1480</v>
      </c>
      <c r="Q174" s="5">
        <f>100*P174/O174</f>
        <v>16.270888302550571</v>
      </c>
      <c r="R174" s="2">
        <v>71</v>
      </c>
      <c r="HZ174" s="34"/>
    </row>
    <row r="175" spans="1:234" ht="15" customHeight="1">
      <c r="A175" s="66" t="s">
        <v>90</v>
      </c>
      <c r="B175" s="2">
        <v>2017</v>
      </c>
      <c r="C175" s="1" t="s">
        <v>13</v>
      </c>
      <c r="D175" s="1" t="s">
        <v>409</v>
      </c>
      <c r="E175" s="1" t="s">
        <v>43</v>
      </c>
      <c r="F175" s="1" t="s">
        <v>91</v>
      </c>
      <c r="G175" s="2">
        <v>2012</v>
      </c>
      <c r="H175" s="1" t="s">
        <v>92</v>
      </c>
      <c r="I175" s="1" t="s">
        <v>93</v>
      </c>
      <c r="J175" s="1" t="s">
        <v>11</v>
      </c>
      <c r="K175" s="25" t="s">
        <v>619</v>
      </c>
      <c r="L175" s="1" t="s">
        <v>10</v>
      </c>
      <c r="M175" s="1" t="s">
        <v>10</v>
      </c>
      <c r="N175" s="5" t="s">
        <v>10</v>
      </c>
      <c r="O175" s="4">
        <v>925</v>
      </c>
      <c r="P175" s="4">
        <v>340</v>
      </c>
      <c r="Q175" s="5">
        <f t="shared" ref="Q175:Q180" si="11">P175*100/O175</f>
        <v>36.756756756756758</v>
      </c>
      <c r="R175" s="2">
        <v>72</v>
      </c>
      <c r="HZ175" s="34"/>
    </row>
    <row r="176" spans="1:234" ht="15" customHeight="1">
      <c r="A176" s="66" t="s">
        <v>90</v>
      </c>
      <c r="B176" s="2">
        <v>2017</v>
      </c>
      <c r="C176" s="1" t="s">
        <v>13</v>
      </c>
      <c r="D176" s="1" t="s">
        <v>409</v>
      </c>
      <c r="E176" s="1" t="s">
        <v>43</v>
      </c>
      <c r="F176" s="1" t="s">
        <v>91</v>
      </c>
      <c r="G176" s="2">
        <v>2012</v>
      </c>
      <c r="H176" s="1" t="s">
        <v>92</v>
      </c>
      <c r="I176" s="1" t="s">
        <v>93</v>
      </c>
      <c r="J176" s="1" t="s">
        <v>11</v>
      </c>
      <c r="K176" s="3" t="s">
        <v>45</v>
      </c>
      <c r="L176" s="1" t="s">
        <v>10</v>
      </c>
      <c r="M176" s="1" t="s">
        <v>10</v>
      </c>
      <c r="N176" s="5" t="s">
        <v>10</v>
      </c>
      <c r="O176" s="4">
        <v>135</v>
      </c>
      <c r="P176" s="4">
        <v>36</v>
      </c>
      <c r="Q176" s="5">
        <f t="shared" si="11"/>
        <v>26.666666666666668</v>
      </c>
      <c r="R176" s="2">
        <v>72</v>
      </c>
      <c r="HZ176" s="34"/>
    </row>
    <row r="177" spans="1:234" ht="15" customHeight="1">
      <c r="A177" s="66" t="s">
        <v>90</v>
      </c>
      <c r="B177" s="2">
        <v>2017</v>
      </c>
      <c r="C177" s="1" t="s">
        <v>13</v>
      </c>
      <c r="D177" s="1" t="s">
        <v>409</v>
      </c>
      <c r="E177" s="1" t="s">
        <v>43</v>
      </c>
      <c r="F177" s="1" t="s">
        <v>91</v>
      </c>
      <c r="G177" s="2">
        <v>2012</v>
      </c>
      <c r="H177" s="1" t="s">
        <v>92</v>
      </c>
      <c r="I177" s="1" t="s">
        <v>93</v>
      </c>
      <c r="J177" s="1" t="s">
        <v>11</v>
      </c>
      <c r="K177" s="3" t="s">
        <v>25</v>
      </c>
      <c r="L177" s="1" t="s">
        <v>10</v>
      </c>
      <c r="M177" s="1" t="s">
        <v>10</v>
      </c>
      <c r="N177" s="5" t="s">
        <v>10</v>
      </c>
      <c r="O177" s="4">
        <v>245</v>
      </c>
      <c r="P177" s="4">
        <v>88</v>
      </c>
      <c r="Q177" s="5">
        <f t="shared" si="11"/>
        <v>35.918367346938773</v>
      </c>
      <c r="R177" s="2">
        <v>72</v>
      </c>
      <c r="HZ177" s="34"/>
    </row>
    <row r="178" spans="1:234" ht="15" customHeight="1">
      <c r="A178" s="66" t="s">
        <v>90</v>
      </c>
      <c r="B178" s="2">
        <v>2017</v>
      </c>
      <c r="C178" s="1" t="s">
        <v>13</v>
      </c>
      <c r="D178" s="1" t="s">
        <v>409</v>
      </c>
      <c r="E178" s="1" t="s">
        <v>43</v>
      </c>
      <c r="F178" s="1" t="s">
        <v>91</v>
      </c>
      <c r="G178" s="2">
        <v>2012</v>
      </c>
      <c r="H178" s="1" t="s">
        <v>92</v>
      </c>
      <c r="I178" s="1" t="s">
        <v>93</v>
      </c>
      <c r="J178" s="1" t="s">
        <v>11</v>
      </c>
      <c r="K178" s="3" t="s">
        <v>26</v>
      </c>
      <c r="L178" s="1" t="s">
        <v>10</v>
      </c>
      <c r="M178" s="1" t="s">
        <v>10</v>
      </c>
      <c r="N178" s="5" t="s">
        <v>10</v>
      </c>
      <c r="O178" s="4">
        <v>256</v>
      </c>
      <c r="P178" s="4">
        <v>92</v>
      </c>
      <c r="Q178" s="5">
        <f t="shared" si="11"/>
        <v>35.9375</v>
      </c>
      <c r="R178" s="2">
        <v>72</v>
      </c>
      <c r="HZ178" s="34"/>
    </row>
    <row r="179" spans="1:234" ht="15" customHeight="1">
      <c r="A179" s="66" t="s">
        <v>90</v>
      </c>
      <c r="B179" s="2">
        <v>2017</v>
      </c>
      <c r="C179" s="1" t="s">
        <v>13</v>
      </c>
      <c r="D179" s="1" t="s">
        <v>409</v>
      </c>
      <c r="E179" s="1" t="s">
        <v>43</v>
      </c>
      <c r="F179" s="1" t="s">
        <v>91</v>
      </c>
      <c r="G179" s="2">
        <v>2012</v>
      </c>
      <c r="H179" s="1" t="s">
        <v>92</v>
      </c>
      <c r="I179" s="1" t="s">
        <v>93</v>
      </c>
      <c r="J179" s="1" t="s">
        <v>11</v>
      </c>
      <c r="K179" s="3" t="s">
        <v>27</v>
      </c>
      <c r="L179" s="1" t="s">
        <v>10</v>
      </c>
      <c r="M179" s="1" t="s">
        <v>10</v>
      </c>
      <c r="N179" s="5" t="s">
        <v>10</v>
      </c>
      <c r="O179" s="4">
        <v>173</v>
      </c>
      <c r="P179" s="4">
        <v>74</v>
      </c>
      <c r="Q179" s="5">
        <f t="shared" si="11"/>
        <v>42.774566473988436</v>
      </c>
      <c r="R179" s="2">
        <v>72</v>
      </c>
      <c r="HZ179" s="34"/>
    </row>
    <row r="180" spans="1:234" ht="15" customHeight="1">
      <c r="A180" s="66" t="s">
        <v>90</v>
      </c>
      <c r="B180" s="2">
        <v>2017</v>
      </c>
      <c r="C180" s="1" t="s">
        <v>13</v>
      </c>
      <c r="D180" s="1" t="s">
        <v>409</v>
      </c>
      <c r="E180" s="1" t="s">
        <v>43</v>
      </c>
      <c r="F180" s="1" t="s">
        <v>91</v>
      </c>
      <c r="G180" s="2">
        <v>2012</v>
      </c>
      <c r="H180" s="1" t="s">
        <v>92</v>
      </c>
      <c r="I180" s="1" t="s">
        <v>93</v>
      </c>
      <c r="J180" s="1" t="s">
        <v>11</v>
      </c>
      <c r="K180" s="3" t="s">
        <v>94</v>
      </c>
      <c r="L180" s="1" t="s">
        <v>10</v>
      </c>
      <c r="M180" s="1" t="s">
        <v>10</v>
      </c>
      <c r="N180" s="5" t="s">
        <v>10</v>
      </c>
      <c r="O180" s="4">
        <v>116</v>
      </c>
      <c r="P180" s="4">
        <v>50</v>
      </c>
      <c r="Q180" s="5">
        <f t="shared" si="11"/>
        <v>43.103448275862071</v>
      </c>
      <c r="R180" s="2">
        <v>72</v>
      </c>
      <c r="HZ180" s="34"/>
    </row>
    <row r="181" spans="1:234" ht="15" customHeight="1">
      <c r="A181" s="66" t="s">
        <v>95</v>
      </c>
      <c r="B181" s="2">
        <v>2017</v>
      </c>
      <c r="C181" s="1" t="s">
        <v>96</v>
      </c>
      <c r="D181" s="16" t="s">
        <v>608</v>
      </c>
      <c r="E181" s="1" t="s">
        <v>97</v>
      </c>
      <c r="F181" s="1" t="s">
        <v>98</v>
      </c>
      <c r="G181" s="1" t="s">
        <v>99</v>
      </c>
      <c r="H181" s="1" t="s">
        <v>100</v>
      </c>
      <c r="I181" s="1" t="s">
        <v>101</v>
      </c>
      <c r="J181" s="1" t="s">
        <v>16</v>
      </c>
      <c r="K181" s="3" t="s">
        <v>102</v>
      </c>
      <c r="L181" s="4">
        <v>434</v>
      </c>
      <c r="M181" s="4">
        <f>L181*N181/100</f>
        <v>91.14</v>
      </c>
      <c r="N181" s="5">
        <v>21</v>
      </c>
      <c r="O181" s="1" t="s">
        <v>10</v>
      </c>
      <c r="P181" s="1" t="s">
        <v>10</v>
      </c>
      <c r="Q181" s="5" t="s">
        <v>10</v>
      </c>
      <c r="R181" s="2">
        <v>73</v>
      </c>
      <c r="HZ181" s="34"/>
    </row>
    <row r="182" spans="1:234" ht="15" customHeight="1">
      <c r="A182" s="68" t="s">
        <v>103</v>
      </c>
      <c r="B182" s="11">
        <v>2018</v>
      </c>
      <c r="C182" s="12" t="s">
        <v>13</v>
      </c>
      <c r="D182" s="12" t="s">
        <v>402</v>
      </c>
      <c r="E182" s="12" t="s">
        <v>104</v>
      </c>
      <c r="F182" s="12" t="s">
        <v>9</v>
      </c>
      <c r="G182" s="12" t="s">
        <v>105</v>
      </c>
      <c r="H182" s="12" t="s">
        <v>106</v>
      </c>
      <c r="I182" s="12" t="s">
        <v>107</v>
      </c>
      <c r="J182" s="12" t="s">
        <v>11</v>
      </c>
      <c r="K182" s="13" t="s">
        <v>108</v>
      </c>
      <c r="L182" s="12" t="s">
        <v>10</v>
      </c>
      <c r="M182" s="12" t="s">
        <v>10</v>
      </c>
      <c r="N182" s="15" t="s">
        <v>10</v>
      </c>
      <c r="O182" s="14">
        <v>181</v>
      </c>
      <c r="P182" s="14">
        <v>55</v>
      </c>
      <c r="Q182" s="15">
        <v>29.7</v>
      </c>
      <c r="R182" s="11">
        <v>74</v>
      </c>
      <c r="HZ182" s="34"/>
    </row>
    <row r="183" spans="1:234" ht="15" customHeight="1">
      <c r="A183" s="66" t="s">
        <v>103</v>
      </c>
      <c r="B183" s="2">
        <v>2018</v>
      </c>
      <c r="C183" s="1" t="s">
        <v>13</v>
      </c>
      <c r="D183" s="12" t="s">
        <v>402</v>
      </c>
      <c r="E183" s="1" t="s">
        <v>104</v>
      </c>
      <c r="F183" s="1" t="s">
        <v>9</v>
      </c>
      <c r="G183" s="1" t="s">
        <v>105</v>
      </c>
      <c r="H183" s="1" t="s">
        <v>109</v>
      </c>
      <c r="I183" s="1" t="s">
        <v>107</v>
      </c>
      <c r="J183" s="1" t="s">
        <v>11</v>
      </c>
      <c r="K183" s="3" t="s">
        <v>110</v>
      </c>
      <c r="L183" s="1" t="s">
        <v>10</v>
      </c>
      <c r="M183" s="1" t="s">
        <v>10</v>
      </c>
      <c r="N183" s="5" t="s">
        <v>10</v>
      </c>
      <c r="O183" s="4">
        <v>130</v>
      </c>
      <c r="P183" s="4">
        <v>44</v>
      </c>
      <c r="Q183" s="5">
        <v>33.1</v>
      </c>
      <c r="R183" s="2">
        <v>74</v>
      </c>
      <c r="HZ183" s="34"/>
    </row>
    <row r="184" spans="1:234" ht="15" customHeight="1">
      <c r="A184" s="66" t="s">
        <v>111</v>
      </c>
      <c r="B184" s="2">
        <v>2015</v>
      </c>
      <c r="C184" s="16" t="s">
        <v>607</v>
      </c>
      <c r="D184" s="1" t="s">
        <v>412</v>
      </c>
      <c r="E184" s="1" t="s">
        <v>9</v>
      </c>
      <c r="F184" s="1" t="s">
        <v>9</v>
      </c>
      <c r="G184" s="1" t="s">
        <v>9</v>
      </c>
      <c r="H184" s="1" t="s">
        <v>368</v>
      </c>
      <c r="I184" s="1" t="s">
        <v>112</v>
      </c>
      <c r="J184" s="1" t="s">
        <v>16</v>
      </c>
      <c r="K184" s="3" t="s">
        <v>113</v>
      </c>
      <c r="L184" s="4">
        <v>612</v>
      </c>
      <c r="M184" s="4">
        <v>381</v>
      </c>
      <c r="N184" s="5">
        <v>62.2</v>
      </c>
      <c r="O184" s="1" t="s">
        <v>10</v>
      </c>
      <c r="P184" s="1" t="s">
        <v>10</v>
      </c>
      <c r="Q184" s="5" t="s">
        <v>10</v>
      </c>
      <c r="R184" s="2">
        <v>75</v>
      </c>
      <c r="HZ184" s="34"/>
    </row>
    <row r="185" spans="1:234" ht="15" customHeight="1">
      <c r="A185" s="66" t="s">
        <v>111</v>
      </c>
      <c r="B185" s="2">
        <v>2015</v>
      </c>
      <c r="C185" s="16" t="s">
        <v>607</v>
      </c>
      <c r="D185" s="1" t="s">
        <v>412</v>
      </c>
      <c r="E185" s="1" t="s">
        <v>9</v>
      </c>
      <c r="F185" s="1" t="s">
        <v>9</v>
      </c>
      <c r="G185" s="1" t="s">
        <v>9</v>
      </c>
      <c r="H185" s="1" t="s">
        <v>368</v>
      </c>
      <c r="I185" s="1" t="s">
        <v>112</v>
      </c>
      <c r="J185" s="1" t="s">
        <v>23</v>
      </c>
      <c r="K185" s="3" t="s">
        <v>113</v>
      </c>
      <c r="L185" s="4">
        <v>364</v>
      </c>
      <c r="M185" s="4">
        <v>220</v>
      </c>
      <c r="N185" s="5">
        <f>M185*100/L185</f>
        <v>60.439560439560438</v>
      </c>
      <c r="O185" s="1" t="s">
        <v>10</v>
      </c>
      <c r="P185" s="1" t="s">
        <v>10</v>
      </c>
      <c r="Q185" s="5" t="s">
        <v>10</v>
      </c>
      <c r="R185" s="2">
        <v>75</v>
      </c>
      <c r="HZ185" s="34"/>
    </row>
    <row r="186" spans="1:234" ht="15" customHeight="1">
      <c r="A186" s="66" t="s">
        <v>111</v>
      </c>
      <c r="B186" s="2">
        <v>2015</v>
      </c>
      <c r="C186" s="16" t="s">
        <v>607</v>
      </c>
      <c r="D186" s="1" t="s">
        <v>412</v>
      </c>
      <c r="E186" s="1" t="s">
        <v>9</v>
      </c>
      <c r="F186" s="1" t="s">
        <v>9</v>
      </c>
      <c r="G186" s="1" t="s">
        <v>9</v>
      </c>
      <c r="H186" s="1" t="s">
        <v>368</v>
      </c>
      <c r="I186" s="1" t="s">
        <v>112</v>
      </c>
      <c r="J186" s="1" t="s">
        <v>11</v>
      </c>
      <c r="K186" s="3" t="s">
        <v>113</v>
      </c>
      <c r="L186" s="4">
        <f>162+87</f>
        <v>249</v>
      </c>
      <c r="M186" s="4">
        <v>162</v>
      </c>
      <c r="N186" s="5">
        <f>M186*100/L186</f>
        <v>65.060240963855421</v>
      </c>
      <c r="O186" s="1" t="s">
        <v>10</v>
      </c>
      <c r="P186" s="1" t="s">
        <v>10</v>
      </c>
      <c r="Q186" s="5" t="s">
        <v>10</v>
      </c>
      <c r="R186" s="2">
        <v>75</v>
      </c>
      <c r="HZ186" s="34"/>
    </row>
    <row r="187" spans="1:234" ht="15" customHeight="1">
      <c r="A187" s="66" t="s">
        <v>114</v>
      </c>
      <c r="B187" s="2">
        <v>2017</v>
      </c>
      <c r="C187" s="1" t="s">
        <v>605</v>
      </c>
      <c r="D187" s="1" t="s">
        <v>115</v>
      </c>
      <c r="E187" s="1" t="s">
        <v>116</v>
      </c>
      <c r="F187" s="1" t="s">
        <v>117</v>
      </c>
      <c r="G187" s="1" t="s">
        <v>118</v>
      </c>
      <c r="H187" s="1" t="s">
        <v>520</v>
      </c>
      <c r="I187" s="1" t="s">
        <v>119</v>
      </c>
      <c r="J187" s="1" t="s">
        <v>11</v>
      </c>
      <c r="K187" s="3" t="s">
        <v>120</v>
      </c>
      <c r="L187" s="1" t="s">
        <v>10</v>
      </c>
      <c r="M187" s="1" t="s">
        <v>10</v>
      </c>
      <c r="N187" s="5" t="s">
        <v>10</v>
      </c>
      <c r="O187" s="4">
        <f>1137+1139</f>
        <v>2276</v>
      </c>
      <c r="P187" s="4">
        <f>360+332</f>
        <v>692</v>
      </c>
      <c r="Q187" s="5">
        <f>P187*100/O187</f>
        <v>30.404217926186291</v>
      </c>
      <c r="R187" s="2">
        <v>76</v>
      </c>
      <c r="HZ187" s="34"/>
    </row>
    <row r="188" spans="1:234" ht="15" customHeight="1">
      <c r="A188" s="66" t="s">
        <v>121</v>
      </c>
      <c r="B188" s="2">
        <v>2013</v>
      </c>
      <c r="C188" s="1" t="s">
        <v>13</v>
      </c>
      <c r="D188" s="1" t="s">
        <v>122</v>
      </c>
      <c r="E188" s="1" t="s">
        <v>67</v>
      </c>
      <c r="F188" s="1" t="s">
        <v>123</v>
      </c>
      <c r="G188" s="1" t="s">
        <v>124</v>
      </c>
      <c r="H188" s="1" t="s">
        <v>125</v>
      </c>
      <c r="I188" s="1" t="s">
        <v>84</v>
      </c>
      <c r="J188" s="1" t="s">
        <v>11</v>
      </c>
      <c r="K188" s="3" t="s">
        <v>120</v>
      </c>
      <c r="L188" s="4">
        <f t="shared" ref="L188" si="12">2694*0.953</f>
        <v>2567.3820000000001</v>
      </c>
      <c r="M188" s="4">
        <f t="shared" ref="M188" si="13">45*2694/100</f>
        <v>1212.3</v>
      </c>
      <c r="N188" s="5">
        <f>M188*100/L188</f>
        <v>47.219307450157395</v>
      </c>
      <c r="O188" s="4">
        <v>2567</v>
      </c>
      <c r="P188" s="4">
        <f t="shared" ref="P188" si="14">4.5*2694/100</f>
        <v>121.23</v>
      </c>
      <c r="Q188" s="5">
        <f>P188*100/O188</f>
        <v>4.7226334242306196</v>
      </c>
      <c r="R188" s="2">
        <v>77</v>
      </c>
      <c r="HZ188" s="34"/>
    </row>
    <row r="189" spans="1:234" ht="15" customHeight="1">
      <c r="A189" s="66" t="s">
        <v>121</v>
      </c>
      <c r="B189" s="2">
        <v>2013</v>
      </c>
      <c r="C189" s="1" t="s">
        <v>13</v>
      </c>
      <c r="D189" s="1" t="s">
        <v>122</v>
      </c>
      <c r="E189" s="1" t="s">
        <v>67</v>
      </c>
      <c r="F189" s="1" t="s">
        <v>123</v>
      </c>
      <c r="G189" s="1" t="s">
        <v>124</v>
      </c>
      <c r="H189" s="1" t="s">
        <v>125</v>
      </c>
      <c r="I189" s="1" t="s">
        <v>84</v>
      </c>
      <c r="J189" s="1" t="s">
        <v>11</v>
      </c>
      <c r="K189" s="3" t="s">
        <v>126</v>
      </c>
      <c r="L189" s="4">
        <v>1438</v>
      </c>
      <c r="M189" s="4">
        <f>N189*L189/100</f>
        <v>589.58000000000004</v>
      </c>
      <c r="N189" s="5">
        <v>41</v>
      </c>
      <c r="O189" s="4">
        <v>1438</v>
      </c>
      <c r="P189" s="4">
        <f>Q189*O189/100</f>
        <v>37.388000000000005</v>
      </c>
      <c r="Q189" s="5">
        <v>2.6</v>
      </c>
      <c r="R189" s="2">
        <v>77</v>
      </c>
      <c r="HZ189" s="34"/>
    </row>
    <row r="190" spans="1:234" ht="15" customHeight="1">
      <c r="A190" s="66" t="s">
        <v>121</v>
      </c>
      <c r="B190" s="2">
        <v>2013</v>
      </c>
      <c r="C190" s="1" t="s">
        <v>13</v>
      </c>
      <c r="D190" s="1" t="s">
        <v>122</v>
      </c>
      <c r="E190" s="1" t="s">
        <v>67</v>
      </c>
      <c r="F190" s="1" t="s">
        <v>123</v>
      </c>
      <c r="G190" s="1" t="s">
        <v>124</v>
      </c>
      <c r="H190" s="1" t="s">
        <v>125</v>
      </c>
      <c r="I190" s="1" t="s">
        <v>84</v>
      </c>
      <c r="J190" s="1" t="s">
        <v>11</v>
      </c>
      <c r="K190" s="3" t="s">
        <v>127</v>
      </c>
      <c r="L190" s="4">
        <v>785</v>
      </c>
      <c r="M190" s="4">
        <f>N190*L190/100</f>
        <v>376.8</v>
      </c>
      <c r="N190" s="5">
        <v>48</v>
      </c>
      <c r="O190" s="4">
        <v>785</v>
      </c>
      <c r="P190" s="4">
        <f>Q190*O190/100</f>
        <v>32.97</v>
      </c>
      <c r="Q190" s="5">
        <v>4.2</v>
      </c>
      <c r="R190" s="2">
        <v>77</v>
      </c>
      <c r="HZ190" s="34"/>
    </row>
    <row r="191" spans="1:234" ht="15" customHeight="1">
      <c r="A191" s="66" t="s">
        <v>121</v>
      </c>
      <c r="B191" s="2">
        <v>2013</v>
      </c>
      <c r="C191" s="1" t="s">
        <v>13</v>
      </c>
      <c r="D191" s="1" t="s">
        <v>122</v>
      </c>
      <c r="E191" s="1" t="s">
        <v>67</v>
      </c>
      <c r="F191" s="1" t="s">
        <v>123</v>
      </c>
      <c r="G191" s="1" t="s">
        <v>124</v>
      </c>
      <c r="H191" s="1" t="s">
        <v>125</v>
      </c>
      <c r="I191" s="1" t="s">
        <v>84</v>
      </c>
      <c r="J191" s="1" t="s">
        <v>11</v>
      </c>
      <c r="K191" s="25" t="s">
        <v>620</v>
      </c>
      <c r="L191" s="4">
        <v>471</v>
      </c>
      <c r="M191" s="4">
        <f>N191*L191/100</f>
        <v>240.21</v>
      </c>
      <c r="N191" s="5">
        <v>51</v>
      </c>
      <c r="O191" s="4">
        <v>471</v>
      </c>
      <c r="P191" s="4">
        <f>Q191*O191/100</f>
        <v>51.81</v>
      </c>
      <c r="Q191" s="5">
        <v>11</v>
      </c>
      <c r="R191" s="2">
        <v>77</v>
      </c>
      <c r="HZ191" s="34"/>
    </row>
    <row r="192" spans="1:234" ht="15" customHeight="1">
      <c r="A192" s="66" t="s">
        <v>129</v>
      </c>
      <c r="B192" s="2">
        <v>2017</v>
      </c>
      <c r="C192" s="1" t="s">
        <v>8</v>
      </c>
      <c r="D192" s="1" t="s">
        <v>403</v>
      </c>
      <c r="E192" s="1" t="s">
        <v>130</v>
      </c>
      <c r="F192" s="1" t="s">
        <v>9</v>
      </c>
      <c r="G192" s="1" t="s">
        <v>131</v>
      </c>
      <c r="H192" s="16" t="s">
        <v>418</v>
      </c>
      <c r="I192" s="1" t="s">
        <v>101</v>
      </c>
      <c r="J192" s="1" t="s">
        <v>16</v>
      </c>
      <c r="K192" s="3" t="s">
        <v>132</v>
      </c>
      <c r="L192" s="4">
        <v>180</v>
      </c>
      <c r="M192" s="4">
        <v>130</v>
      </c>
      <c r="N192" s="5">
        <v>72.2</v>
      </c>
      <c r="O192" s="4">
        <v>180</v>
      </c>
      <c r="P192" s="4">
        <v>51</v>
      </c>
      <c r="Q192" s="5">
        <v>28.3</v>
      </c>
      <c r="R192" s="2">
        <v>78</v>
      </c>
      <c r="HZ192" s="34"/>
    </row>
    <row r="193" spans="1:234" ht="15" customHeight="1">
      <c r="A193" s="66" t="s">
        <v>133</v>
      </c>
      <c r="B193" s="2">
        <v>2018</v>
      </c>
      <c r="C193" s="1" t="s">
        <v>8</v>
      </c>
      <c r="D193" s="1" t="s">
        <v>611</v>
      </c>
      <c r="E193" s="1" t="s">
        <v>134</v>
      </c>
      <c r="F193" s="1" t="s">
        <v>135</v>
      </c>
      <c r="G193" s="2">
        <v>2004</v>
      </c>
      <c r="H193" s="1" t="s">
        <v>22</v>
      </c>
      <c r="I193" s="1" t="s">
        <v>136</v>
      </c>
      <c r="J193" s="1" t="s">
        <v>16</v>
      </c>
      <c r="K193" s="3" t="s">
        <v>137</v>
      </c>
      <c r="L193" s="4">
        <f>440+272+320</f>
        <v>1032</v>
      </c>
      <c r="M193" s="4">
        <f>281+269+308</f>
        <v>858</v>
      </c>
      <c r="N193" s="5">
        <f>M193*100/L193</f>
        <v>83.139534883720927</v>
      </c>
      <c r="O193" s="4">
        <v>1032</v>
      </c>
      <c r="P193" s="4">
        <f>100+43+35</f>
        <v>178</v>
      </c>
      <c r="Q193" s="5">
        <f>P193*100/O193</f>
        <v>17.248062015503876</v>
      </c>
      <c r="R193" s="2">
        <v>79</v>
      </c>
      <c r="HZ193" s="34"/>
    </row>
    <row r="194" spans="1:234" ht="15" customHeight="1">
      <c r="A194" s="66" t="s">
        <v>138</v>
      </c>
      <c r="B194" s="2">
        <v>2015</v>
      </c>
      <c r="C194" s="1" t="s">
        <v>605</v>
      </c>
      <c r="D194" s="1" t="s">
        <v>15</v>
      </c>
      <c r="E194" s="1" t="s">
        <v>139</v>
      </c>
      <c r="F194" s="1" t="s">
        <v>9</v>
      </c>
      <c r="G194" s="1" t="s">
        <v>140</v>
      </c>
      <c r="H194" s="1" t="s">
        <v>22</v>
      </c>
      <c r="I194" s="1" t="s">
        <v>366</v>
      </c>
      <c r="J194" s="1" t="s">
        <v>16</v>
      </c>
      <c r="K194" s="3" t="s">
        <v>142</v>
      </c>
      <c r="L194" s="1" t="s">
        <v>10</v>
      </c>
      <c r="M194" s="1" t="s">
        <v>10</v>
      </c>
      <c r="N194" s="5" t="s">
        <v>10</v>
      </c>
      <c r="O194" s="4">
        <f>O195+O196</f>
        <v>8494</v>
      </c>
      <c r="P194" s="4">
        <f>P195+P196</f>
        <v>602</v>
      </c>
      <c r="Q194" s="5">
        <f>P194*100/O194</f>
        <v>7.0873557805509773</v>
      </c>
      <c r="R194" s="2">
        <v>80</v>
      </c>
      <c r="HZ194" s="34"/>
    </row>
    <row r="195" spans="1:234" ht="15" customHeight="1">
      <c r="A195" s="66" t="s">
        <v>138</v>
      </c>
      <c r="B195" s="2">
        <v>2015</v>
      </c>
      <c r="C195" s="1" t="s">
        <v>605</v>
      </c>
      <c r="D195" s="1" t="s">
        <v>15</v>
      </c>
      <c r="E195" s="1" t="s">
        <v>139</v>
      </c>
      <c r="F195" s="1" t="s">
        <v>9</v>
      </c>
      <c r="G195" s="1" t="s">
        <v>140</v>
      </c>
      <c r="H195" s="1" t="s">
        <v>22</v>
      </c>
      <c r="I195" s="1" t="s">
        <v>366</v>
      </c>
      <c r="J195" s="1" t="s">
        <v>11</v>
      </c>
      <c r="K195" s="3" t="s">
        <v>143</v>
      </c>
      <c r="L195" s="1" t="s">
        <v>10</v>
      </c>
      <c r="M195" s="1" t="s">
        <v>10</v>
      </c>
      <c r="N195" s="5" t="s">
        <v>10</v>
      </c>
      <c r="O195" s="4">
        <v>4358</v>
      </c>
      <c r="P195" s="4">
        <v>389</v>
      </c>
      <c r="Q195" s="5">
        <v>8.9</v>
      </c>
      <c r="R195" s="2">
        <v>80</v>
      </c>
      <c r="HZ195" s="34"/>
    </row>
    <row r="196" spans="1:234" ht="15" customHeight="1">
      <c r="A196" s="66" t="s">
        <v>138</v>
      </c>
      <c r="B196" s="2">
        <v>2015</v>
      </c>
      <c r="C196" s="1" t="s">
        <v>605</v>
      </c>
      <c r="D196" s="1" t="s">
        <v>15</v>
      </c>
      <c r="E196" s="1" t="s">
        <v>139</v>
      </c>
      <c r="F196" s="1" t="s">
        <v>9</v>
      </c>
      <c r="G196" s="1" t="s">
        <v>140</v>
      </c>
      <c r="H196" s="1" t="s">
        <v>22</v>
      </c>
      <c r="I196" s="1" t="s">
        <v>366</v>
      </c>
      <c r="J196" s="1" t="s">
        <v>23</v>
      </c>
      <c r="K196" s="3" t="s">
        <v>142</v>
      </c>
      <c r="L196" s="1" t="s">
        <v>10</v>
      </c>
      <c r="M196" s="1" t="s">
        <v>10</v>
      </c>
      <c r="N196" s="5" t="s">
        <v>10</v>
      </c>
      <c r="O196" s="4">
        <v>4136</v>
      </c>
      <c r="P196" s="4">
        <v>213</v>
      </c>
      <c r="Q196" s="5">
        <v>5.0999999999999996</v>
      </c>
      <c r="R196" s="2">
        <v>80</v>
      </c>
      <c r="HZ196" s="34"/>
    </row>
    <row r="197" spans="1:234" ht="15" customHeight="1">
      <c r="A197" s="66" t="s">
        <v>144</v>
      </c>
      <c r="B197" s="2">
        <v>2016</v>
      </c>
      <c r="C197" s="1" t="s">
        <v>13</v>
      </c>
      <c r="D197" s="1" t="s">
        <v>610</v>
      </c>
      <c r="E197" s="1" t="s">
        <v>145</v>
      </c>
      <c r="F197" s="1" t="s">
        <v>9</v>
      </c>
      <c r="G197" s="1" t="s">
        <v>146</v>
      </c>
      <c r="H197" s="1" t="s">
        <v>57</v>
      </c>
      <c r="I197" s="1" t="s">
        <v>101</v>
      </c>
      <c r="J197" s="1" t="s">
        <v>11</v>
      </c>
      <c r="K197" s="25" t="s">
        <v>661</v>
      </c>
      <c r="L197" s="4">
        <v>247</v>
      </c>
      <c r="M197" s="4">
        <f>N197*L197/100</f>
        <v>142.76599999999999</v>
      </c>
      <c r="N197" s="5">
        <v>57.8</v>
      </c>
      <c r="O197" s="4">
        <v>247</v>
      </c>
      <c r="P197" s="4">
        <v>49</v>
      </c>
      <c r="Q197" s="5">
        <v>22</v>
      </c>
      <c r="R197" s="2">
        <v>81</v>
      </c>
      <c r="HZ197" s="34"/>
    </row>
    <row r="198" spans="1:234" ht="15" customHeight="1">
      <c r="A198" s="66" t="s">
        <v>148</v>
      </c>
      <c r="B198" s="2">
        <v>2018</v>
      </c>
      <c r="C198" s="16" t="s">
        <v>607</v>
      </c>
      <c r="D198" s="1" t="s">
        <v>405</v>
      </c>
      <c r="E198" s="1" t="s">
        <v>149</v>
      </c>
      <c r="F198" s="1" t="s">
        <v>9</v>
      </c>
      <c r="G198" s="2">
        <v>2012</v>
      </c>
      <c r="H198" s="1" t="s">
        <v>150</v>
      </c>
      <c r="I198" s="1" t="s">
        <v>151</v>
      </c>
      <c r="J198" s="1" t="s">
        <v>16</v>
      </c>
      <c r="K198" s="3" t="s">
        <v>152</v>
      </c>
      <c r="L198" s="1" t="s">
        <v>10</v>
      </c>
      <c r="M198" s="1" t="s">
        <v>10</v>
      </c>
      <c r="N198" s="5" t="s">
        <v>10</v>
      </c>
      <c r="O198" s="4">
        <v>546</v>
      </c>
      <c r="P198" s="4">
        <f>Q198*O198/100</f>
        <v>89.980800000000002</v>
      </c>
      <c r="Q198" s="5">
        <v>16.48</v>
      </c>
      <c r="R198" s="2">
        <v>82</v>
      </c>
      <c r="HZ198" s="34"/>
    </row>
    <row r="199" spans="1:234" ht="15" customHeight="1">
      <c r="A199" s="66" t="s">
        <v>148</v>
      </c>
      <c r="B199" s="2">
        <v>2018</v>
      </c>
      <c r="C199" s="16" t="s">
        <v>607</v>
      </c>
      <c r="D199" s="1" t="s">
        <v>405</v>
      </c>
      <c r="E199" s="1" t="s">
        <v>149</v>
      </c>
      <c r="F199" s="1" t="s">
        <v>9</v>
      </c>
      <c r="G199" s="2">
        <v>2012</v>
      </c>
      <c r="H199" s="1" t="s">
        <v>150</v>
      </c>
      <c r="I199" s="16" t="s">
        <v>639</v>
      </c>
      <c r="J199" s="1" t="s">
        <v>23</v>
      </c>
      <c r="K199" s="3" t="s">
        <v>152</v>
      </c>
      <c r="L199" s="1" t="s">
        <v>10</v>
      </c>
      <c r="M199" s="1" t="s">
        <v>10</v>
      </c>
      <c r="N199" s="5" t="s">
        <v>10</v>
      </c>
      <c r="O199" s="4">
        <v>468</v>
      </c>
      <c r="P199" s="4">
        <f>Q199*O199/100</f>
        <v>73.007999999999996</v>
      </c>
      <c r="Q199" s="5">
        <v>15.6</v>
      </c>
      <c r="R199" s="2">
        <v>82</v>
      </c>
      <c r="HZ199" s="34"/>
    </row>
    <row r="200" spans="1:234" ht="15" customHeight="1">
      <c r="A200" s="66" t="s">
        <v>148</v>
      </c>
      <c r="B200" s="2">
        <v>2018</v>
      </c>
      <c r="C200" s="16" t="s">
        <v>607</v>
      </c>
      <c r="D200" s="1" t="s">
        <v>405</v>
      </c>
      <c r="E200" s="1" t="s">
        <v>149</v>
      </c>
      <c r="F200" s="1" t="s">
        <v>9</v>
      </c>
      <c r="G200" s="2">
        <v>2012</v>
      </c>
      <c r="H200" s="1" t="s">
        <v>150</v>
      </c>
      <c r="I200" s="16" t="s">
        <v>639</v>
      </c>
      <c r="J200" s="1" t="s">
        <v>11</v>
      </c>
      <c r="K200" s="3" t="s">
        <v>152</v>
      </c>
      <c r="L200" s="1" t="s">
        <v>10</v>
      </c>
      <c r="M200" s="1" t="s">
        <v>10</v>
      </c>
      <c r="N200" s="5" t="s">
        <v>10</v>
      </c>
      <c r="O200" s="4">
        <v>78</v>
      </c>
      <c r="P200" s="4">
        <f>Q200*O200/100</f>
        <v>16.996199999999998</v>
      </c>
      <c r="Q200" s="5">
        <v>21.79</v>
      </c>
      <c r="R200" s="2">
        <v>82</v>
      </c>
      <c r="HZ200" s="34"/>
    </row>
    <row r="201" spans="1:234" ht="15" customHeight="1">
      <c r="A201" s="69" t="s">
        <v>153</v>
      </c>
      <c r="B201" s="2">
        <v>2016</v>
      </c>
      <c r="C201" s="1" t="s">
        <v>8</v>
      </c>
      <c r="D201" s="1" t="s">
        <v>611</v>
      </c>
      <c r="E201" s="1" t="s">
        <v>154</v>
      </c>
      <c r="F201" s="1" t="s">
        <v>155</v>
      </c>
      <c r="G201" s="1" t="s">
        <v>156</v>
      </c>
      <c r="H201" s="1" t="s">
        <v>157</v>
      </c>
      <c r="I201" s="1" t="s">
        <v>158</v>
      </c>
      <c r="J201" s="1" t="s">
        <v>16</v>
      </c>
      <c r="K201" s="3" t="s">
        <v>159</v>
      </c>
      <c r="L201" s="4">
        <v>4420</v>
      </c>
      <c r="M201" s="4">
        <v>871</v>
      </c>
      <c r="N201" s="5">
        <v>20</v>
      </c>
      <c r="O201" s="1" t="s">
        <v>10</v>
      </c>
      <c r="P201" s="1" t="s">
        <v>10</v>
      </c>
      <c r="Q201" s="5" t="s">
        <v>10</v>
      </c>
      <c r="R201" s="2">
        <v>83</v>
      </c>
      <c r="HZ201" s="34"/>
    </row>
    <row r="202" spans="1:234" ht="15" customHeight="1">
      <c r="A202" s="69" t="s">
        <v>153</v>
      </c>
      <c r="B202" s="16" t="s">
        <v>432</v>
      </c>
      <c r="C202" s="1" t="s">
        <v>8</v>
      </c>
      <c r="D202" s="1" t="s">
        <v>611</v>
      </c>
      <c r="E202" s="1" t="s">
        <v>154</v>
      </c>
      <c r="F202" s="1" t="s">
        <v>155</v>
      </c>
      <c r="G202" s="1" t="s">
        <v>156</v>
      </c>
      <c r="H202" s="1" t="s">
        <v>157</v>
      </c>
      <c r="I202" s="1" t="s">
        <v>158</v>
      </c>
      <c r="J202" s="1" t="s">
        <v>11</v>
      </c>
      <c r="K202" s="3" t="s">
        <v>160</v>
      </c>
      <c r="L202" s="4">
        <f>3592+877-1855-450</f>
        <v>2164</v>
      </c>
      <c r="M202" s="4">
        <f>877-450</f>
        <v>427</v>
      </c>
      <c r="N202" s="5">
        <f>M202*100/L202</f>
        <v>19.731977818853974</v>
      </c>
      <c r="O202" s="1" t="s">
        <v>10</v>
      </c>
      <c r="P202" s="1" t="s">
        <v>10</v>
      </c>
      <c r="Q202" s="5" t="s">
        <v>10</v>
      </c>
      <c r="R202" s="2">
        <v>83</v>
      </c>
      <c r="HZ202" s="34"/>
    </row>
    <row r="203" spans="1:234" ht="15" customHeight="1">
      <c r="A203" s="69" t="s">
        <v>153</v>
      </c>
      <c r="B203" s="16" t="s">
        <v>432</v>
      </c>
      <c r="C203" s="1" t="s">
        <v>8</v>
      </c>
      <c r="D203" s="1" t="s">
        <v>611</v>
      </c>
      <c r="E203" s="1" t="s">
        <v>154</v>
      </c>
      <c r="F203" s="1" t="s">
        <v>155</v>
      </c>
      <c r="G203" s="1" t="s">
        <v>156</v>
      </c>
      <c r="H203" s="1" t="s">
        <v>157</v>
      </c>
      <c r="I203" s="1" t="s">
        <v>158</v>
      </c>
      <c r="J203" s="1" t="s">
        <v>23</v>
      </c>
      <c r="K203" s="3" t="s">
        <v>161</v>
      </c>
      <c r="L203" s="4">
        <f>1855+450</f>
        <v>2305</v>
      </c>
      <c r="M203" s="4">
        <v>450</v>
      </c>
      <c r="N203" s="5">
        <f>M203*100/L203</f>
        <v>19.522776572668114</v>
      </c>
      <c r="O203" s="1" t="s">
        <v>10</v>
      </c>
      <c r="P203" s="1" t="s">
        <v>10</v>
      </c>
      <c r="Q203" s="5" t="s">
        <v>10</v>
      </c>
      <c r="R203" s="2">
        <v>83</v>
      </c>
      <c r="HZ203" s="34"/>
    </row>
    <row r="204" spans="1:234" ht="15" customHeight="1">
      <c r="A204" s="66" t="s">
        <v>162</v>
      </c>
      <c r="B204" s="1" t="s">
        <v>163</v>
      </c>
      <c r="C204" s="1" t="s">
        <v>8</v>
      </c>
      <c r="D204" s="1" t="s">
        <v>611</v>
      </c>
      <c r="E204" s="1" t="s">
        <v>164</v>
      </c>
      <c r="F204" s="1" t="s">
        <v>165</v>
      </c>
      <c r="G204" s="1" t="s">
        <v>166</v>
      </c>
      <c r="H204" s="1" t="s">
        <v>167</v>
      </c>
      <c r="I204" s="1" t="s">
        <v>364</v>
      </c>
      <c r="J204" s="1" t="s">
        <v>16</v>
      </c>
      <c r="K204" s="3" t="s">
        <v>168</v>
      </c>
      <c r="L204" s="4">
        <v>1220</v>
      </c>
      <c r="M204" s="4">
        <v>301</v>
      </c>
      <c r="N204" s="5">
        <v>24.7</v>
      </c>
      <c r="O204" s="4">
        <v>1220</v>
      </c>
      <c r="P204" s="4">
        <v>13</v>
      </c>
      <c r="Q204" s="5">
        <v>1.1000000000000001</v>
      </c>
      <c r="R204" s="16" t="s">
        <v>646</v>
      </c>
      <c r="HZ204" s="34"/>
    </row>
    <row r="205" spans="1:234" ht="15" customHeight="1">
      <c r="A205" s="66" t="s">
        <v>169</v>
      </c>
      <c r="B205" s="1" t="s">
        <v>170</v>
      </c>
      <c r="C205" s="1" t="s">
        <v>8</v>
      </c>
      <c r="D205" s="1" t="s">
        <v>404</v>
      </c>
      <c r="E205" s="1" t="s">
        <v>171</v>
      </c>
      <c r="F205" s="1" t="s">
        <v>172</v>
      </c>
      <c r="G205" s="1" t="s">
        <v>173</v>
      </c>
      <c r="H205" s="1" t="s">
        <v>174</v>
      </c>
      <c r="I205" s="1" t="s">
        <v>175</v>
      </c>
      <c r="J205" s="1" t="s">
        <v>16</v>
      </c>
      <c r="K205" s="3" t="s">
        <v>176</v>
      </c>
      <c r="L205" s="4">
        <v>674</v>
      </c>
      <c r="M205" s="4">
        <v>24</v>
      </c>
      <c r="N205" s="5">
        <v>3.6</v>
      </c>
      <c r="O205" s="4">
        <v>674</v>
      </c>
      <c r="P205" s="4">
        <v>10</v>
      </c>
      <c r="Q205" s="5">
        <v>1.5</v>
      </c>
      <c r="R205" s="16" t="s">
        <v>647</v>
      </c>
      <c r="HZ205" s="34"/>
    </row>
    <row r="206" spans="1:234" ht="15" customHeight="1">
      <c r="A206" s="66" t="s">
        <v>177</v>
      </c>
      <c r="B206" s="2">
        <v>2016</v>
      </c>
      <c r="C206" s="1" t="s">
        <v>13</v>
      </c>
      <c r="D206" s="1" t="s">
        <v>610</v>
      </c>
      <c r="E206" s="1" t="s">
        <v>178</v>
      </c>
      <c r="F206" s="1" t="s">
        <v>179</v>
      </c>
      <c r="G206" s="2">
        <v>2010</v>
      </c>
      <c r="H206" s="1" t="s">
        <v>180</v>
      </c>
      <c r="I206" s="1" t="s">
        <v>181</v>
      </c>
      <c r="J206" s="1" t="s">
        <v>11</v>
      </c>
      <c r="K206" s="3" t="s">
        <v>182</v>
      </c>
      <c r="L206" s="1" t="s">
        <v>10</v>
      </c>
      <c r="M206" s="1" t="s">
        <v>10</v>
      </c>
      <c r="N206" s="5" t="s">
        <v>10</v>
      </c>
      <c r="O206" s="4">
        <v>213</v>
      </c>
      <c r="P206" s="4">
        <f>O206*Q206/100</f>
        <v>187.44</v>
      </c>
      <c r="Q206" s="5">
        <v>88</v>
      </c>
      <c r="R206" s="2">
        <v>90</v>
      </c>
      <c r="HZ206" s="34"/>
    </row>
    <row r="207" spans="1:234" ht="15" customHeight="1">
      <c r="A207" s="66" t="s">
        <v>183</v>
      </c>
      <c r="B207" s="2">
        <v>2017</v>
      </c>
      <c r="C207" s="1" t="s">
        <v>8</v>
      </c>
      <c r="D207" s="1" t="s">
        <v>401</v>
      </c>
      <c r="E207" s="1" t="s">
        <v>43</v>
      </c>
      <c r="F207" s="1" t="s">
        <v>184</v>
      </c>
      <c r="G207" s="1" t="s">
        <v>185</v>
      </c>
      <c r="H207" s="1" t="s">
        <v>22</v>
      </c>
      <c r="I207" s="1" t="s">
        <v>186</v>
      </c>
      <c r="J207" s="1" t="s">
        <v>187</v>
      </c>
      <c r="K207" s="3" t="s">
        <v>188</v>
      </c>
      <c r="L207" s="4">
        <v>6627</v>
      </c>
      <c r="M207" s="4">
        <f>N207*L207/100</f>
        <v>5215.4490000000005</v>
      </c>
      <c r="N207" s="5">
        <v>78.7</v>
      </c>
      <c r="O207" s="4">
        <v>5013</v>
      </c>
      <c r="P207" s="4">
        <f>Q207*O207/100</f>
        <v>471.22200000000004</v>
      </c>
      <c r="Q207" s="5">
        <v>9.4</v>
      </c>
      <c r="R207" s="2">
        <v>91</v>
      </c>
      <c r="HZ207" s="34"/>
    </row>
    <row r="208" spans="1:234" ht="15" customHeight="1">
      <c r="A208" s="66" t="s">
        <v>183</v>
      </c>
      <c r="B208" s="2">
        <v>2017</v>
      </c>
      <c r="C208" s="1" t="s">
        <v>8</v>
      </c>
      <c r="D208" s="1" t="s">
        <v>401</v>
      </c>
      <c r="E208" s="1" t="s">
        <v>43</v>
      </c>
      <c r="F208" s="1" t="s">
        <v>184</v>
      </c>
      <c r="G208" s="1" t="s">
        <v>185</v>
      </c>
      <c r="H208" s="1" t="s">
        <v>22</v>
      </c>
      <c r="I208" s="1" t="s">
        <v>186</v>
      </c>
      <c r="J208" s="1" t="s">
        <v>187</v>
      </c>
      <c r="K208" s="3" t="s">
        <v>35</v>
      </c>
      <c r="L208" s="4">
        <f t="shared" ref="L208:M213" si="15">L215+L222</f>
        <v>572</v>
      </c>
      <c r="M208" s="4">
        <f t="shared" si="15"/>
        <v>267.42</v>
      </c>
      <c r="N208" s="5">
        <f t="shared" ref="N208:N213" si="16">M208*100/L208</f>
        <v>46.751748251748253</v>
      </c>
      <c r="O208" s="4">
        <f t="shared" ref="O208:P213" si="17">O215+O222</f>
        <v>449</v>
      </c>
      <c r="P208" s="4">
        <f t="shared" si="17"/>
        <v>7.2039999999999997</v>
      </c>
      <c r="Q208" s="5">
        <f t="shared" ref="Q208:Q213" si="18">P208*100/O208</f>
        <v>1.6044543429844098</v>
      </c>
      <c r="R208" s="2">
        <v>91</v>
      </c>
      <c r="HZ208" s="34"/>
    </row>
    <row r="209" spans="1:234" ht="15" customHeight="1">
      <c r="A209" s="66" t="s">
        <v>183</v>
      </c>
      <c r="B209" s="2">
        <v>2017</v>
      </c>
      <c r="C209" s="1" t="s">
        <v>8</v>
      </c>
      <c r="D209" s="1" t="s">
        <v>401</v>
      </c>
      <c r="E209" s="1" t="s">
        <v>43</v>
      </c>
      <c r="F209" s="1" t="s">
        <v>184</v>
      </c>
      <c r="G209" s="1" t="s">
        <v>185</v>
      </c>
      <c r="H209" s="1" t="s">
        <v>22</v>
      </c>
      <c r="I209" s="1" t="s">
        <v>186</v>
      </c>
      <c r="J209" s="1" t="s">
        <v>187</v>
      </c>
      <c r="K209" s="3" t="s">
        <v>189</v>
      </c>
      <c r="L209" s="4">
        <f t="shared" si="15"/>
        <v>764</v>
      </c>
      <c r="M209" s="4">
        <f t="shared" si="15"/>
        <v>516.38</v>
      </c>
      <c r="N209" s="5">
        <f t="shared" si="16"/>
        <v>67.589005235602087</v>
      </c>
      <c r="O209" s="4">
        <f t="shared" si="17"/>
        <v>510</v>
      </c>
      <c r="P209" s="4">
        <f t="shared" si="17"/>
        <v>25.175999999999998</v>
      </c>
      <c r="Q209" s="5">
        <f t="shared" si="18"/>
        <v>4.9364705882352942</v>
      </c>
      <c r="R209" s="2">
        <v>91</v>
      </c>
      <c r="HZ209" s="34"/>
    </row>
    <row r="210" spans="1:234" ht="15" customHeight="1">
      <c r="A210" s="66" t="s">
        <v>183</v>
      </c>
      <c r="B210" s="2">
        <v>2017</v>
      </c>
      <c r="C210" s="1" t="s">
        <v>8</v>
      </c>
      <c r="D210" s="1" t="s">
        <v>401</v>
      </c>
      <c r="E210" s="1" t="s">
        <v>43</v>
      </c>
      <c r="F210" s="1" t="s">
        <v>184</v>
      </c>
      <c r="G210" s="1" t="s">
        <v>185</v>
      </c>
      <c r="H210" s="1" t="s">
        <v>22</v>
      </c>
      <c r="I210" s="1" t="s">
        <v>186</v>
      </c>
      <c r="J210" s="1" t="s">
        <v>187</v>
      </c>
      <c r="K210" s="3" t="s">
        <v>190</v>
      </c>
      <c r="L210" s="4">
        <f t="shared" si="15"/>
        <v>967</v>
      </c>
      <c r="M210" s="4">
        <f t="shared" si="15"/>
        <v>753.80000000000007</v>
      </c>
      <c r="N210" s="5">
        <f t="shared" si="16"/>
        <v>77.952430196483974</v>
      </c>
      <c r="O210" s="4">
        <f t="shared" si="17"/>
        <v>748</v>
      </c>
      <c r="P210" s="4">
        <f t="shared" si="17"/>
        <v>61.323999999999998</v>
      </c>
      <c r="Q210" s="5">
        <f t="shared" si="18"/>
        <v>8.1983957219251327</v>
      </c>
      <c r="R210" s="2">
        <v>91</v>
      </c>
      <c r="HZ210" s="34"/>
    </row>
    <row r="211" spans="1:234" ht="15" customHeight="1">
      <c r="A211" s="66" t="s">
        <v>183</v>
      </c>
      <c r="B211" s="2">
        <v>2017</v>
      </c>
      <c r="C211" s="1" t="s">
        <v>8</v>
      </c>
      <c r="D211" s="1" t="s">
        <v>401</v>
      </c>
      <c r="E211" s="1" t="s">
        <v>43</v>
      </c>
      <c r="F211" s="1" t="s">
        <v>184</v>
      </c>
      <c r="G211" s="1" t="s">
        <v>185</v>
      </c>
      <c r="H211" s="1" t="s">
        <v>22</v>
      </c>
      <c r="I211" s="1" t="s">
        <v>186</v>
      </c>
      <c r="J211" s="1" t="s">
        <v>187</v>
      </c>
      <c r="K211" s="3" t="s">
        <v>191</v>
      </c>
      <c r="L211" s="4">
        <f t="shared" si="15"/>
        <v>1341</v>
      </c>
      <c r="M211" s="4">
        <f t="shared" si="15"/>
        <v>1126.7339999999999</v>
      </c>
      <c r="N211" s="5">
        <f t="shared" si="16"/>
        <v>84.021923937360171</v>
      </c>
      <c r="O211" s="4">
        <f t="shared" si="17"/>
        <v>1012</v>
      </c>
      <c r="P211" s="4">
        <f t="shared" si="17"/>
        <v>130.97300000000001</v>
      </c>
      <c r="Q211" s="5">
        <f t="shared" si="18"/>
        <v>12.94199604743083</v>
      </c>
      <c r="R211" s="2">
        <v>91</v>
      </c>
      <c r="HZ211" s="34"/>
    </row>
    <row r="212" spans="1:234" ht="15" customHeight="1">
      <c r="A212" s="66" t="s">
        <v>183</v>
      </c>
      <c r="B212" s="2">
        <v>2017</v>
      </c>
      <c r="C212" s="1" t="s">
        <v>8</v>
      </c>
      <c r="D212" s="1" t="s">
        <v>401</v>
      </c>
      <c r="E212" s="1" t="s">
        <v>43</v>
      </c>
      <c r="F212" s="1" t="s">
        <v>184</v>
      </c>
      <c r="G212" s="1" t="s">
        <v>185</v>
      </c>
      <c r="H212" s="1" t="s">
        <v>22</v>
      </c>
      <c r="I212" s="1" t="s">
        <v>186</v>
      </c>
      <c r="J212" s="1" t="s">
        <v>187</v>
      </c>
      <c r="K212" s="3" t="s">
        <v>192</v>
      </c>
      <c r="L212" s="4">
        <f t="shared" si="15"/>
        <v>1189</v>
      </c>
      <c r="M212" s="4">
        <f t="shared" si="15"/>
        <v>1058.5210000000002</v>
      </c>
      <c r="N212" s="5">
        <f t="shared" si="16"/>
        <v>89.026156433978144</v>
      </c>
      <c r="O212" s="4">
        <f t="shared" si="17"/>
        <v>879</v>
      </c>
      <c r="P212" s="4">
        <f t="shared" si="17"/>
        <v>119.107</v>
      </c>
      <c r="Q212" s="5">
        <f t="shared" si="18"/>
        <v>13.55028441410694</v>
      </c>
      <c r="R212" s="2">
        <v>91</v>
      </c>
      <c r="HZ212" s="34"/>
    </row>
    <row r="213" spans="1:234" ht="15" customHeight="1">
      <c r="A213" s="66" t="s">
        <v>183</v>
      </c>
      <c r="B213" s="2">
        <v>2017</v>
      </c>
      <c r="C213" s="1" t="s">
        <v>8</v>
      </c>
      <c r="D213" s="1" t="s">
        <v>401</v>
      </c>
      <c r="E213" s="1" t="s">
        <v>43</v>
      </c>
      <c r="F213" s="1" t="s">
        <v>184</v>
      </c>
      <c r="G213" s="1" t="s">
        <v>185</v>
      </c>
      <c r="H213" s="1" t="s">
        <v>22</v>
      </c>
      <c r="I213" s="1" t="s">
        <v>186</v>
      </c>
      <c r="J213" s="1" t="s">
        <v>187</v>
      </c>
      <c r="K213" s="25" t="s">
        <v>662</v>
      </c>
      <c r="L213" s="4">
        <f t="shared" si="15"/>
        <v>1794</v>
      </c>
      <c r="M213" s="4">
        <f t="shared" si="15"/>
        <v>1647.739</v>
      </c>
      <c r="N213" s="5">
        <f t="shared" si="16"/>
        <v>91.847212931995543</v>
      </c>
      <c r="O213" s="4">
        <f t="shared" si="17"/>
        <v>1365</v>
      </c>
      <c r="P213" s="4">
        <f t="shared" si="17"/>
        <v>158.99</v>
      </c>
      <c r="Q213" s="5">
        <f t="shared" si="18"/>
        <v>11.647619047619047</v>
      </c>
      <c r="R213" s="2">
        <v>91</v>
      </c>
      <c r="HZ213" s="34"/>
    </row>
    <row r="214" spans="1:234" ht="15" customHeight="1">
      <c r="A214" s="66" t="s">
        <v>183</v>
      </c>
      <c r="B214" s="2">
        <v>2017</v>
      </c>
      <c r="C214" s="1" t="s">
        <v>8</v>
      </c>
      <c r="D214" s="1" t="s">
        <v>401</v>
      </c>
      <c r="E214" s="1" t="s">
        <v>43</v>
      </c>
      <c r="F214" s="1" t="s">
        <v>184</v>
      </c>
      <c r="G214" s="1" t="s">
        <v>185</v>
      </c>
      <c r="H214" s="1" t="s">
        <v>22</v>
      </c>
      <c r="I214" s="1" t="s">
        <v>186</v>
      </c>
      <c r="J214" s="1" t="s">
        <v>11</v>
      </c>
      <c r="K214" s="3" t="s">
        <v>188</v>
      </c>
      <c r="L214" s="4">
        <f>SUM(L215:L220)</f>
        <v>3441</v>
      </c>
      <c r="M214" s="4">
        <f t="shared" ref="M214:M227" si="19">N214*L214/100</f>
        <v>2821.62</v>
      </c>
      <c r="N214" s="5">
        <v>82</v>
      </c>
      <c r="O214" s="4">
        <f>SUM(O215:O220)</f>
        <v>2535</v>
      </c>
      <c r="P214" s="4">
        <f t="shared" ref="P214:P227" si="20">Q214*O214/100</f>
        <v>296.59500000000003</v>
      </c>
      <c r="Q214" s="5">
        <v>11.7</v>
      </c>
      <c r="R214" s="2">
        <v>91</v>
      </c>
      <c r="HZ214" s="34"/>
    </row>
    <row r="215" spans="1:234" ht="15" customHeight="1">
      <c r="A215" s="66" t="s">
        <v>183</v>
      </c>
      <c r="B215" s="2">
        <v>2017</v>
      </c>
      <c r="C215" s="1" t="s">
        <v>8</v>
      </c>
      <c r="D215" s="1" t="s">
        <v>401</v>
      </c>
      <c r="E215" s="1" t="s">
        <v>43</v>
      </c>
      <c r="F215" s="1" t="s">
        <v>184</v>
      </c>
      <c r="G215" s="1" t="s">
        <v>185</v>
      </c>
      <c r="H215" s="1" t="s">
        <v>22</v>
      </c>
      <c r="I215" s="1" t="s">
        <v>186</v>
      </c>
      <c r="J215" s="1" t="s">
        <v>11</v>
      </c>
      <c r="K215" s="3" t="s">
        <v>35</v>
      </c>
      <c r="L215" s="4">
        <v>283</v>
      </c>
      <c r="M215" s="4">
        <f t="shared" si="19"/>
        <v>145.46199999999999</v>
      </c>
      <c r="N215" s="5">
        <v>51.4</v>
      </c>
      <c r="O215" s="4">
        <v>227</v>
      </c>
      <c r="P215" s="4">
        <f t="shared" si="20"/>
        <v>4.54</v>
      </c>
      <c r="Q215" s="5">
        <v>2</v>
      </c>
      <c r="R215" s="2">
        <v>91</v>
      </c>
      <c r="HZ215" s="34"/>
    </row>
    <row r="216" spans="1:234" ht="15" customHeight="1">
      <c r="A216" s="66" t="s">
        <v>183</v>
      </c>
      <c r="B216" s="2">
        <v>2017</v>
      </c>
      <c r="C216" s="1" t="s">
        <v>8</v>
      </c>
      <c r="D216" s="1" t="s">
        <v>401</v>
      </c>
      <c r="E216" s="1" t="s">
        <v>43</v>
      </c>
      <c r="F216" s="1" t="s">
        <v>184</v>
      </c>
      <c r="G216" s="1" t="s">
        <v>185</v>
      </c>
      <c r="H216" s="1" t="s">
        <v>22</v>
      </c>
      <c r="I216" s="1" t="s">
        <v>186</v>
      </c>
      <c r="J216" s="1" t="s">
        <v>11</v>
      </c>
      <c r="K216" s="3" t="s">
        <v>189</v>
      </c>
      <c r="L216" s="4">
        <v>400</v>
      </c>
      <c r="M216" s="4">
        <f t="shared" si="19"/>
        <v>281.60000000000002</v>
      </c>
      <c r="N216" s="5">
        <v>70.400000000000006</v>
      </c>
      <c r="O216" s="4">
        <v>227</v>
      </c>
      <c r="P216" s="4">
        <f t="shared" si="20"/>
        <v>17.251999999999999</v>
      </c>
      <c r="Q216" s="5">
        <v>7.6</v>
      </c>
      <c r="R216" s="2">
        <v>91</v>
      </c>
      <c r="HZ216" s="34"/>
    </row>
    <row r="217" spans="1:234" ht="15" customHeight="1">
      <c r="A217" s="69" t="s">
        <v>183</v>
      </c>
      <c r="B217" s="2">
        <v>2017</v>
      </c>
      <c r="C217" s="1" t="s">
        <v>8</v>
      </c>
      <c r="D217" s="1" t="s">
        <v>401</v>
      </c>
      <c r="E217" s="1" t="s">
        <v>43</v>
      </c>
      <c r="F217" s="1" t="s">
        <v>184</v>
      </c>
      <c r="G217" s="1" t="s">
        <v>185</v>
      </c>
      <c r="H217" s="1" t="s">
        <v>22</v>
      </c>
      <c r="I217" s="1" t="s">
        <v>186</v>
      </c>
      <c r="J217" s="1" t="s">
        <v>11</v>
      </c>
      <c r="K217" s="3" t="s">
        <v>190</v>
      </c>
      <c r="L217" s="4">
        <v>519</v>
      </c>
      <c r="M217" s="4">
        <f t="shared" si="19"/>
        <v>427.65600000000006</v>
      </c>
      <c r="N217" s="5">
        <v>82.4</v>
      </c>
      <c r="O217" s="4">
        <v>405</v>
      </c>
      <c r="P217" s="4">
        <f t="shared" si="20"/>
        <v>46.575000000000003</v>
      </c>
      <c r="Q217" s="5">
        <v>11.5</v>
      </c>
      <c r="R217" s="2">
        <v>91</v>
      </c>
      <c r="HZ217" s="34"/>
    </row>
    <row r="218" spans="1:234" ht="15" customHeight="1">
      <c r="A218" s="69" t="s">
        <v>183</v>
      </c>
      <c r="B218" s="2">
        <v>2017</v>
      </c>
      <c r="C218" s="1" t="s">
        <v>8</v>
      </c>
      <c r="D218" s="1" t="s">
        <v>401</v>
      </c>
      <c r="E218" s="1" t="s">
        <v>43</v>
      </c>
      <c r="F218" s="1" t="s">
        <v>184</v>
      </c>
      <c r="G218" s="1" t="s">
        <v>185</v>
      </c>
      <c r="H218" s="1" t="s">
        <v>22</v>
      </c>
      <c r="I218" s="1" t="s">
        <v>186</v>
      </c>
      <c r="J218" s="1" t="s">
        <v>11</v>
      </c>
      <c r="K218" s="3" t="s">
        <v>191</v>
      </c>
      <c r="L218" s="4">
        <v>714</v>
      </c>
      <c r="M218" s="4">
        <f t="shared" si="19"/>
        <v>617.61</v>
      </c>
      <c r="N218" s="5">
        <v>86.5</v>
      </c>
      <c r="O218" s="4">
        <v>535</v>
      </c>
      <c r="P218" s="4">
        <f t="shared" si="20"/>
        <v>86.135000000000005</v>
      </c>
      <c r="Q218" s="5">
        <v>16.100000000000001</v>
      </c>
      <c r="R218" s="2">
        <v>91</v>
      </c>
      <c r="HZ218" s="34"/>
    </row>
    <row r="219" spans="1:234" ht="15" customHeight="1">
      <c r="A219" s="69" t="s">
        <v>183</v>
      </c>
      <c r="B219" s="2">
        <v>2017</v>
      </c>
      <c r="C219" s="1" t="s">
        <v>8</v>
      </c>
      <c r="D219" s="1" t="s">
        <v>401</v>
      </c>
      <c r="E219" s="1" t="s">
        <v>43</v>
      </c>
      <c r="F219" s="1" t="s">
        <v>184</v>
      </c>
      <c r="G219" s="1" t="s">
        <v>185</v>
      </c>
      <c r="H219" s="1" t="s">
        <v>22</v>
      </c>
      <c r="I219" s="1" t="s">
        <v>186</v>
      </c>
      <c r="J219" s="1" t="s">
        <v>11</v>
      </c>
      <c r="K219" s="3" t="s">
        <v>192</v>
      </c>
      <c r="L219" s="4">
        <v>630</v>
      </c>
      <c r="M219" s="4">
        <f t="shared" si="19"/>
        <v>578.34</v>
      </c>
      <c r="N219" s="5">
        <v>91.8</v>
      </c>
      <c r="O219" s="4">
        <v>461</v>
      </c>
      <c r="P219" s="4">
        <f t="shared" si="20"/>
        <v>71.454999999999998</v>
      </c>
      <c r="Q219" s="5">
        <v>15.5</v>
      </c>
      <c r="R219" s="2">
        <v>91</v>
      </c>
      <c r="HZ219" s="34"/>
    </row>
    <row r="220" spans="1:234" ht="15" customHeight="1">
      <c r="A220" s="69" t="s">
        <v>183</v>
      </c>
      <c r="B220" s="2">
        <v>2017</v>
      </c>
      <c r="C220" s="1" t="s">
        <v>8</v>
      </c>
      <c r="D220" s="1" t="s">
        <v>401</v>
      </c>
      <c r="E220" s="1" t="s">
        <v>43</v>
      </c>
      <c r="F220" s="1" t="s">
        <v>184</v>
      </c>
      <c r="G220" s="1" t="s">
        <v>185</v>
      </c>
      <c r="H220" s="1" t="s">
        <v>22</v>
      </c>
      <c r="I220" s="1" t="s">
        <v>186</v>
      </c>
      <c r="J220" s="1" t="s">
        <v>11</v>
      </c>
      <c r="K220" s="25" t="s">
        <v>662</v>
      </c>
      <c r="L220" s="4">
        <v>895</v>
      </c>
      <c r="M220" s="4">
        <f t="shared" si="19"/>
        <v>833.245</v>
      </c>
      <c r="N220" s="5">
        <v>93.1</v>
      </c>
      <c r="O220" s="4">
        <v>680</v>
      </c>
      <c r="P220" s="4">
        <f t="shared" si="20"/>
        <v>83.64</v>
      </c>
      <c r="Q220" s="5">
        <v>12.3</v>
      </c>
      <c r="R220" s="2">
        <v>91</v>
      </c>
      <c r="HZ220" s="34"/>
    </row>
    <row r="221" spans="1:234" ht="15" customHeight="1">
      <c r="A221" s="69" t="s">
        <v>183</v>
      </c>
      <c r="B221" s="2">
        <v>2017</v>
      </c>
      <c r="C221" s="1" t="s">
        <v>8</v>
      </c>
      <c r="D221" s="1" t="s">
        <v>401</v>
      </c>
      <c r="E221" s="1" t="s">
        <v>43</v>
      </c>
      <c r="F221" s="1" t="s">
        <v>184</v>
      </c>
      <c r="G221" s="1" t="s">
        <v>185</v>
      </c>
      <c r="H221" s="1" t="s">
        <v>22</v>
      </c>
      <c r="I221" s="1" t="s">
        <v>186</v>
      </c>
      <c r="J221" s="1" t="s">
        <v>23</v>
      </c>
      <c r="K221" s="3" t="s">
        <v>188</v>
      </c>
      <c r="L221" s="4">
        <f>SUM(L222:L227)</f>
        <v>3186</v>
      </c>
      <c r="M221" s="4">
        <f t="shared" si="19"/>
        <v>2402.2440000000001</v>
      </c>
      <c r="N221" s="5">
        <v>75.400000000000006</v>
      </c>
      <c r="O221" s="4">
        <f>SUM(O222:O227)</f>
        <v>2428</v>
      </c>
      <c r="P221" s="4">
        <f t="shared" si="20"/>
        <v>174.81600000000003</v>
      </c>
      <c r="Q221" s="5">
        <v>7.2</v>
      </c>
      <c r="R221" s="2">
        <v>91</v>
      </c>
      <c r="HZ221" s="34"/>
    </row>
    <row r="222" spans="1:234" ht="15" customHeight="1">
      <c r="A222" s="69" t="s">
        <v>183</v>
      </c>
      <c r="B222" s="2">
        <v>2017</v>
      </c>
      <c r="C222" s="1" t="s">
        <v>8</v>
      </c>
      <c r="D222" s="1" t="s">
        <v>401</v>
      </c>
      <c r="E222" s="1" t="s">
        <v>43</v>
      </c>
      <c r="F222" s="1" t="s">
        <v>184</v>
      </c>
      <c r="G222" s="1" t="s">
        <v>185</v>
      </c>
      <c r="H222" s="1" t="s">
        <v>22</v>
      </c>
      <c r="I222" s="1" t="s">
        <v>186</v>
      </c>
      <c r="J222" s="1" t="s">
        <v>23</v>
      </c>
      <c r="K222" s="3" t="s">
        <v>35</v>
      </c>
      <c r="L222" s="4">
        <v>289</v>
      </c>
      <c r="M222" s="4">
        <f t="shared" si="19"/>
        <v>121.95800000000001</v>
      </c>
      <c r="N222" s="5">
        <v>42.2</v>
      </c>
      <c r="O222" s="4">
        <v>222</v>
      </c>
      <c r="P222" s="4">
        <f t="shared" si="20"/>
        <v>2.6639999999999997</v>
      </c>
      <c r="Q222" s="5">
        <v>1.2</v>
      </c>
      <c r="R222" s="2">
        <v>91</v>
      </c>
      <c r="HZ222" s="34"/>
    </row>
    <row r="223" spans="1:234" ht="15" customHeight="1">
      <c r="A223" s="69" t="s">
        <v>183</v>
      </c>
      <c r="B223" s="2">
        <v>2017</v>
      </c>
      <c r="C223" s="1" t="s">
        <v>8</v>
      </c>
      <c r="D223" s="1" t="s">
        <v>401</v>
      </c>
      <c r="E223" s="1" t="s">
        <v>43</v>
      </c>
      <c r="F223" s="1" t="s">
        <v>184</v>
      </c>
      <c r="G223" s="1" t="s">
        <v>185</v>
      </c>
      <c r="H223" s="1" t="s">
        <v>22</v>
      </c>
      <c r="I223" s="1" t="s">
        <v>186</v>
      </c>
      <c r="J223" s="1" t="s">
        <v>23</v>
      </c>
      <c r="K223" s="3" t="s">
        <v>189</v>
      </c>
      <c r="L223" s="4">
        <v>364</v>
      </c>
      <c r="M223" s="4">
        <f t="shared" si="19"/>
        <v>234.78</v>
      </c>
      <c r="N223" s="5">
        <v>64.5</v>
      </c>
      <c r="O223" s="4">
        <v>283</v>
      </c>
      <c r="P223" s="4">
        <f t="shared" si="20"/>
        <v>7.9239999999999995</v>
      </c>
      <c r="Q223" s="5">
        <v>2.8</v>
      </c>
      <c r="R223" s="2">
        <v>91</v>
      </c>
      <c r="HZ223" s="34"/>
    </row>
    <row r="224" spans="1:234" ht="15" customHeight="1">
      <c r="A224" s="69" t="s">
        <v>183</v>
      </c>
      <c r="B224" s="2">
        <v>2017</v>
      </c>
      <c r="C224" s="1" t="s">
        <v>8</v>
      </c>
      <c r="D224" s="1" t="s">
        <v>401</v>
      </c>
      <c r="E224" s="1" t="s">
        <v>43</v>
      </c>
      <c r="F224" s="1" t="s">
        <v>184</v>
      </c>
      <c r="G224" s="1" t="s">
        <v>185</v>
      </c>
      <c r="H224" s="1" t="s">
        <v>22</v>
      </c>
      <c r="I224" s="1" t="s">
        <v>186</v>
      </c>
      <c r="J224" s="1" t="s">
        <v>23</v>
      </c>
      <c r="K224" s="3" t="s">
        <v>190</v>
      </c>
      <c r="L224" s="4">
        <v>448</v>
      </c>
      <c r="M224" s="4">
        <f t="shared" si="19"/>
        <v>326.14400000000001</v>
      </c>
      <c r="N224" s="5">
        <v>72.8</v>
      </c>
      <c r="O224" s="4">
        <v>343</v>
      </c>
      <c r="P224" s="4">
        <f t="shared" si="20"/>
        <v>14.748999999999999</v>
      </c>
      <c r="Q224" s="5">
        <v>4.3</v>
      </c>
      <c r="R224" s="2">
        <v>91</v>
      </c>
      <c r="HZ224" s="34"/>
    </row>
    <row r="225" spans="1:234" ht="15" customHeight="1">
      <c r="A225" s="69" t="s">
        <v>183</v>
      </c>
      <c r="B225" s="2">
        <v>2017</v>
      </c>
      <c r="C225" s="1" t="s">
        <v>8</v>
      </c>
      <c r="D225" s="1" t="s">
        <v>401</v>
      </c>
      <c r="E225" s="1" t="s">
        <v>43</v>
      </c>
      <c r="F225" s="1" t="s">
        <v>184</v>
      </c>
      <c r="G225" s="1" t="s">
        <v>185</v>
      </c>
      <c r="H225" s="1" t="s">
        <v>22</v>
      </c>
      <c r="I225" s="1" t="s">
        <v>186</v>
      </c>
      <c r="J225" s="1" t="s">
        <v>23</v>
      </c>
      <c r="K225" s="3" t="s">
        <v>191</v>
      </c>
      <c r="L225" s="4">
        <v>627</v>
      </c>
      <c r="M225" s="4">
        <f t="shared" si="19"/>
        <v>509.12400000000002</v>
      </c>
      <c r="N225" s="5">
        <v>81.2</v>
      </c>
      <c r="O225" s="4">
        <v>477</v>
      </c>
      <c r="P225" s="4">
        <f t="shared" si="20"/>
        <v>44.838000000000001</v>
      </c>
      <c r="Q225" s="5">
        <v>9.4</v>
      </c>
      <c r="R225" s="2">
        <v>91</v>
      </c>
      <c r="HZ225" s="34"/>
    </row>
    <row r="226" spans="1:234" ht="15" customHeight="1">
      <c r="A226" s="69" t="s">
        <v>183</v>
      </c>
      <c r="B226" s="2">
        <v>2017</v>
      </c>
      <c r="C226" s="1" t="s">
        <v>8</v>
      </c>
      <c r="D226" s="1" t="s">
        <v>401</v>
      </c>
      <c r="E226" s="1" t="s">
        <v>43</v>
      </c>
      <c r="F226" s="1" t="s">
        <v>184</v>
      </c>
      <c r="G226" s="1" t="s">
        <v>185</v>
      </c>
      <c r="H226" s="1" t="s">
        <v>22</v>
      </c>
      <c r="I226" s="1" t="s">
        <v>186</v>
      </c>
      <c r="J226" s="1" t="s">
        <v>23</v>
      </c>
      <c r="K226" s="3" t="s">
        <v>192</v>
      </c>
      <c r="L226" s="4">
        <v>559</v>
      </c>
      <c r="M226" s="4">
        <f t="shared" si="19"/>
        <v>480.18100000000004</v>
      </c>
      <c r="N226" s="5">
        <v>85.9</v>
      </c>
      <c r="O226" s="4">
        <v>418</v>
      </c>
      <c r="P226" s="4">
        <f t="shared" si="20"/>
        <v>47.652000000000001</v>
      </c>
      <c r="Q226" s="5">
        <v>11.4</v>
      </c>
      <c r="R226" s="2">
        <v>91</v>
      </c>
      <c r="HZ226" s="34"/>
    </row>
    <row r="227" spans="1:234" ht="15" customHeight="1">
      <c r="A227" s="69" t="s">
        <v>183</v>
      </c>
      <c r="B227" s="2">
        <v>2017</v>
      </c>
      <c r="C227" s="1" t="s">
        <v>8</v>
      </c>
      <c r="D227" s="1" t="s">
        <v>401</v>
      </c>
      <c r="E227" s="1" t="s">
        <v>43</v>
      </c>
      <c r="F227" s="1" t="s">
        <v>184</v>
      </c>
      <c r="G227" s="1" t="s">
        <v>185</v>
      </c>
      <c r="H227" s="1" t="s">
        <v>22</v>
      </c>
      <c r="I227" s="1" t="s">
        <v>186</v>
      </c>
      <c r="J227" s="1" t="s">
        <v>23</v>
      </c>
      <c r="K227" s="25" t="s">
        <v>662</v>
      </c>
      <c r="L227" s="4">
        <v>899</v>
      </c>
      <c r="M227" s="4">
        <f t="shared" si="19"/>
        <v>814.49399999999991</v>
      </c>
      <c r="N227" s="5">
        <v>90.6</v>
      </c>
      <c r="O227" s="4">
        <v>685</v>
      </c>
      <c r="P227" s="4">
        <f t="shared" si="20"/>
        <v>75.349999999999994</v>
      </c>
      <c r="Q227" s="5">
        <v>11</v>
      </c>
      <c r="R227" s="2">
        <v>91</v>
      </c>
      <c r="HZ227" s="34"/>
    </row>
    <row r="228" spans="1:234" s="46" customFormat="1" ht="15" customHeight="1">
      <c r="A228" s="70" t="s">
        <v>193</v>
      </c>
      <c r="B228" s="17">
        <v>2016</v>
      </c>
      <c r="C228" s="18" t="s">
        <v>604</v>
      </c>
      <c r="D228" s="16" t="s">
        <v>53</v>
      </c>
      <c r="E228" s="18" t="s">
        <v>388</v>
      </c>
      <c r="F228" s="18" t="s">
        <v>9</v>
      </c>
      <c r="G228" s="17" t="s">
        <v>198</v>
      </c>
      <c r="H228" s="18" t="s">
        <v>57</v>
      </c>
      <c r="I228" s="18" t="s">
        <v>389</v>
      </c>
      <c r="J228" s="18" t="s">
        <v>11</v>
      </c>
      <c r="K228" s="19" t="s">
        <v>390</v>
      </c>
      <c r="L228" s="20">
        <f>Table1[[#This Row],[N HSV-1 Ab+]]*100/Table1[[#This Row],[% HSV-1 infection]]</f>
        <v>1050.2857142857142</v>
      </c>
      <c r="M228" s="17">
        <v>919</v>
      </c>
      <c r="N228" s="21">
        <v>87.5</v>
      </c>
      <c r="O228" s="20">
        <f>Table1[[#This Row],[N HSV-2 Ab+]]*100/Table1[[#This Row],[% HSV-2 infection]]</f>
        <v>1049.6894409937888</v>
      </c>
      <c r="P228" s="20">
        <v>169</v>
      </c>
      <c r="Q228" s="21">
        <v>16.100000000000001</v>
      </c>
      <c r="R228" s="17">
        <v>92</v>
      </c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  <c r="CP228" s="45"/>
      <c r="CQ228" s="45"/>
      <c r="CR228" s="45"/>
      <c r="CS228" s="45"/>
      <c r="CT228" s="45"/>
      <c r="CU228" s="45"/>
      <c r="CV228" s="45"/>
      <c r="CW228" s="45"/>
      <c r="CX228" s="45"/>
      <c r="CY228" s="45"/>
      <c r="CZ228" s="45"/>
      <c r="DA228" s="45"/>
      <c r="DB228" s="45"/>
      <c r="DC228" s="45"/>
      <c r="DD228" s="45"/>
      <c r="DE228" s="45"/>
      <c r="DF228" s="45"/>
      <c r="DG228" s="45"/>
      <c r="DH228" s="45"/>
      <c r="DI228" s="45"/>
      <c r="DJ228" s="45"/>
      <c r="DK228" s="45"/>
      <c r="DL228" s="45"/>
      <c r="DM228" s="45"/>
      <c r="DN228" s="45"/>
      <c r="DO228" s="45"/>
      <c r="DP228" s="45"/>
      <c r="DQ228" s="45"/>
      <c r="DR228" s="45"/>
      <c r="DS228" s="45"/>
      <c r="DT228" s="45"/>
      <c r="DU228" s="45"/>
      <c r="DV228" s="45"/>
      <c r="DW228" s="45"/>
      <c r="DX228" s="45"/>
      <c r="DY228" s="45"/>
      <c r="DZ228" s="45"/>
      <c r="EA228" s="45"/>
      <c r="EB228" s="45"/>
      <c r="EC228" s="45"/>
      <c r="ED228" s="45"/>
      <c r="EE228" s="45"/>
      <c r="EF228" s="45"/>
      <c r="EG228" s="45"/>
      <c r="EH228" s="45"/>
      <c r="EI228" s="45"/>
      <c r="EJ228" s="45"/>
      <c r="EK228" s="45"/>
      <c r="EL228" s="45"/>
      <c r="EM228" s="45"/>
      <c r="EN228" s="45"/>
      <c r="EO228" s="45"/>
      <c r="EP228" s="45"/>
      <c r="EQ228" s="45"/>
      <c r="ER228" s="45"/>
      <c r="ES228" s="45"/>
      <c r="ET228" s="45"/>
      <c r="EU228" s="45"/>
      <c r="EV228" s="45"/>
      <c r="EW228" s="45"/>
      <c r="EX228" s="45"/>
      <c r="EY228" s="45"/>
      <c r="EZ228" s="45"/>
      <c r="FA228" s="45"/>
      <c r="FB228" s="45"/>
      <c r="FC228" s="45"/>
      <c r="FD228" s="45"/>
      <c r="FE228" s="45"/>
      <c r="FF228" s="45"/>
      <c r="FG228" s="45"/>
      <c r="FH228" s="45"/>
      <c r="FI228" s="45"/>
      <c r="FJ228" s="45"/>
      <c r="FK228" s="45"/>
      <c r="FL228" s="45"/>
      <c r="FM228" s="45"/>
      <c r="FN228" s="45"/>
      <c r="FO228" s="45"/>
      <c r="FP228" s="45"/>
      <c r="FQ228" s="45"/>
      <c r="FR228" s="45"/>
      <c r="FS228" s="45"/>
      <c r="FT228" s="45"/>
      <c r="FU228" s="45"/>
      <c r="FV228" s="45"/>
      <c r="FW228" s="45"/>
      <c r="FX228" s="45"/>
      <c r="FY228" s="45"/>
      <c r="FZ228" s="45"/>
      <c r="GA228" s="45"/>
      <c r="GB228" s="45"/>
      <c r="GC228" s="45"/>
      <c r="GD228" s="45"/>
      <c r="GE228" s="45"/>
      <c r="GF228" s="45"/>
      <c r="GG228" s="45"/>
      <c r="GH228" s="45"/>
      <c r="GI228" s="45"/>
      <c r="GJ228" s="45"/>
      <c r="GK228" s="45"/>
      <c r="GL228" s="45"/>
      <c r="GM228" s="45"/>
      <c r="GN228" s="45"/>
      <c r="GO228" s="45"/>
      <c r="GP228" s="45"/>
      <c r="GQ228" s="45"/>
      <c r="GR228" s="45"/>
      <c r="GS228" s="45"/>
      <c r="GT228" s="45"/>
      <c r="GU228" s="45"/>
      <c r="GV228" s="45"/>
      <c r="GW228" s="45"/>
      <c r="GX228" s="45"/>
      <c r="GY228" s="45"/>
      <c r="GZ228" s="45"/>
      <c r="HA228" s="45"/>
      <c r="HB228" s="45"/>
      <c r="HC228" s="45"/>
      <c r="HD228" s="45"/>
      <c r="HE228" s="45"/>
      <c r="HF228" s="45"/>
      <c r="HG228" s="45"/>
      <c r="HH228" s="45"/>
      <c r="HI228" s="45"/>
      <c r="HJ228" s="45"/>
      <c r="HK228" s="45"/>
      <c r="HL228" s="45"/>
      <c r="HM228" s="45"/>
      <c r="HN228" s="45"/>
      <c r="HO228" s="45"/>
      <c r="HP228" s="45"/>
      <c r="HQ228" s="45"/>
      <c r="HR228" s="45"/>
      <c r="HS228" s="45"/>
      <c r="HT228" s="45"/>
      <c r="HU228" s="45"/>
      <c r="HV228" s="45"/>
      <c r="HW228" s="45"/>
      <c r="HX228" s="45"/>
      <c r="HY228" s="45"/>
    </row>
    <row r="229" spans="1:234" ht="15" customHeight="1">
      <c r="A229" s="66" t="s">
        <v>200</v>
      </c>
      <c r="B229" s="2">
        <v>2017</v>
      </c>
      <c r="C229" s="1" t="s">
        <v>8</v>
      </c>
      <c r="D229" s="1" t="s">
        <v>410</v>
      </c>
      <c r="E229" s="1" t="s">
        <v>201</v>
      </c>
      <c r="F229" s="1" t="s">
        <v>9</v>
      </c>
      <c r="G229" s="2">
        <v>2000</v>
      </c>
      <c r="H229" s="1" t="s">
        <v>22</v>
      </c>
      <c r="I229" s="1" t="s">
        <v>202</v>
      </c>
      <c r="J229" s="1" t="s">
        <v>16</v>
      </c>
      <c r="K229" s="3" t="s">
        <v>203</v>
      </c>
      <c r="L229" s="4">
        <v>621</v>
      </c>
      <c r="M229" s="4">
        <v>552</v>
      </c>
      <c r="N229" s="5">
        <v>88.9</v>
      </c>
      <c r="O229" s="4">
        <v>621</v>
      </c>
      <c r="P229" s="4">
        <v>139</v>
      </c>
      <c r="Q229" s="5">
        <v>22.4</v>
      </c>
      <c r="R229" s="2">
        <v>93</v>
      </c>
      <c r="HZ229" s="34"/>
    </row>
    <row r="230" spans="1:234" ht="15" customHeight="1">
      <c r="A230" s="66" t="s">
        <v>200</v>
      </c>
      <c r="B230" s="2">
        <v>2017</v>
      </c>
      <c r="C230" s="1" t="s">
        <v>8</v>
      </c>
      <c r="D230" s="1" t="s">
        <v>410</v>
      </c>
      <c r="E230" s="1" t="s">
        <v>201</v>
      </c>
      <c r="F230" s="1" t="s">
        <v>9</v>
      </c>
      <c r="G230" s="2">
        <v>2000</v>
      </c>
      <c r="H230" s="1" t="s">
        <v>22</v>
      </c>
      <c r="I230" s="1" t="s">
        <v>202</v>
      </c>
      <c r="J230" s="1" t="s">
        <v>16</v>
      </c>
      <c r="K230" s="3" t="s">
        <v>204</v>
      </c>
      <c r="L230" s="4">
        <v>100</v>
      </c>
      <c r="M230" s="4">
        <v>65</v>
      </c>
      <c r="N230" s="5">
        <v>65</v>
      </c>
      <c r="O230" s="4">
        <v>100</v>
      </c>
      <c r="P230" s="4">
        <v>8</v>
      </c>
      <c r="Q230" s="5">
        <v>8</v>
      </c>
      <c r="R230" s="2">
        <v>93</v>
      </c>
      <c r="HZ230" s="34"/>
    </row>
    <row r="231" spans="1:234" ht="15" customHeight="1">
      <c r="A231" s="66" t="s">
        <v>200</v>
      </c>
      <c r="B231" s="2">
        <v>2017</v>
      </c>
      <c r="C231" s="1" t="s">
        <v>8</v>
      </c>
      <c r="D231" s="1" t="s">
        <v>410</v>
      </c>
      <c r="E231" s="1" t="s">
        <v>201</v>
      </c>
      <c r="F231" s="1" t="s">
        <v>9</v>
      </c>
      <c r="G231" s="2">
        <v>2000</v>
      </c>
      <c r="H231" s="1" t="s">
        <v>22</v>
      </c>
      <c r="I231" s="1" t="s">
        <v>202</v>
      </c>
      <c r="J231" s="1" t="s">
        <v>16</v>
      </c>
      <c r="K231" s="3" t="s">
        <v>24</v>
      </c>
      <c r="L231" s="4">
        <v>49</v>
      </c>
      <c r="M231" s="4">
        <v>43</v>
      </c>
      <c r="N231" s="5">
        <v>87.8</v>
      </c>
      <c r="O231" s="4">
        <v>49</v>
      </c>
      <c r="P231" s="4">
        <v>15</v>
      </c>
      <c r="Q231" s="5">
        <v>30.6</v>
      </c>
      <c r="R231" s="2">
        <v>93</v>
      </c>
      <c r="HZ231" s="34"/>
    </row>
    <row r="232" spans="1:234" ht="15" customHeight="1">
      <c r="A232" s="66" t="s">
        <v>200</v>
      </c>
      <c r="B232" s="2">
        <v>2017</v>
      </c>
      <c r="C232" s="1" t="s">
        <v>8</v>
      </c>
      <c r="D232" s="1" t="s">
        <v>410</v>
      </c>
      <c r="E232" s="1" t="s">
        <v>201</v>
      </c>
      <c r="F232" s="1" t="s">
        <v>9</v>
      </c>
      <c r="G232" s="2">
        <v>2000</v>
      </c>
      <c r="H232" s="1" t="s">
        <v>22</v>
      </c>
      <c r="I232" s="1" t="s">
        <v>202</v>
      </c>
      <c r="J232" s="1" t="s">
        <v>16</v>
      </c>
      <c r="K232" s="3" t="s">
        <v>25</v>
      </c>
      <c r="L232" s="4">
        <v>51</v>
      </c>
      <c r="M232" s="4">
        <v>49</v>
      </c>
      <c r="N232" s="5">
        <v>96.1</v>
      </c>
      <c r="O232" s="4">
        <v>51</v>
      </c>
      <c r="P232" s="4">
        <v>24</v>
      </c>
      <c r="Q232" s="5">
        <v>47.1</v>
      </c>
      <c r="R232" s="2">
        <v>93</v>
      </c>
      <c r="HZ232" s="34"/>
    </row>
    <row r="233" spans="1:234" ht="15" customHeight="1">
      <c r="A233" s="66" t="s">
        <v>200</v>
      </c>
      <c r="B233" s="2">
        <v>2017</v>
      </c>
      <c r="C233" s="1" t="s">
        <v>8</v>
      </c>
      <c r="D233" s="1" t="s">
        <v>410</v>
      </c>
      <c r="E233" s="1" t="s">
        <v>201</v>
      </c>
      <c r="F233" s="1" t="s">
        <v>9</v>
      </c>
      <c r="G233" s="2">
        <v>2000</v>
      </c>
      <c r="H233" s="1" t="s">
        <v>22</v>
      </c>
      <c r="I233" s="1" t="s">
        <v>202</v>
      </c>
      <c r="J233" s="1" t="s">
        <v>16</v>
      </c>
      <c r="K233" s="3" t="s">
        <v>26</v>
      </c>
      <c r="L233" s="4">
        <v>54</v>
      </c>
      <c r="M233" s="4">
        <v>49</v>
      </c>
      <c r="N233" s="5">
        <v>90.7</v>
      </c>
      <c r="O233" s="4">
        <v>54</v>
      </c>
      <c r="P233" s="4">
        <v>19</v>
      </c>
      <c r="Q233" s="5">
        <v>35.200000000000003</v>
      </c>
      <c r="R233" s="2">
        <v>93</v>
      </c>
      <c r="HZ233" s="34"/>
    </row>
    <row r="234" spans="1:234" ht="15" customHeight="1">
      <c r="A234" s="66" t="s">
        <v>200</v>
      </c>
      <c r="B234" s="2">
        <v>2017</v>
      </c>
      <c r="C234" s="1" t="s">
        <v>8</v>
      </c>
      <c r="D234" s="1" t="s">
        <v>410</v>
      </c>
      <c r="E234" s="1" t="s">
        <v>201</v>
      </c>
      <c r="F234" s="1" t="s">
        <v>9</v>
      </c>
      <c r="G234" s="2">
        <v>2000</v>
      </c>
      <c r="H234" s="1" t="s">
        <v>22</v>
      </c>
      <c r="I234" s="1" t="s">
        <v>202</v>
      </c>
      <c r="J234" s="1" t="s">
        <v>16</v>
      </c>
      <c r="K234" s="3" t="s">
        <v>27</v>
      </c>
      <c r="L234" s="4">
        <v>66</v>
      </c>
      <c r="M234" s="4">
        <v>61</v>
      </c>
      <c r="N234" s="5">
        <v>92.4</v>
      </c>
      <c r="O234" s="4">
        <v>66</v>
      </c>
      <c r="P234" s="4">
        <v>14</v>
      </c>
      <c r="Q234" s="5">
        <v>21.2</v>
      </c>
      <c r="R234" s="2">
        <v>93</v>
      </c>
      <c r="HZ234" s="34"/>
    </row>
    <row r="235" spans="1:234" ht="15" customHeight="1">
      <c r="A235" s="66" t="s">
        <v>200</v>
      </c>
      <c r="B235" s="2">
        <v>2017</v>
      </c>
      <c r="C235" s="1" t="s">
        <v>8</v>
      </c>
      <c r="D235" s="1" t="s">
        <v>410</v>
      </c>
      <c r="E235" s="1" t="s">
        <v>201</v>
      </c>
      <c r="F235" s="1" t="s">
        <v>9</v>
      </c>
      <c r="G235" s="2">
        <v>2000</v>
      </c>
      <c r="H235" s="1" t="s">
        <v>22</v>
      </c>
      <c r="I235" s="1" t="s">
        <v>202</v>
      </c>
      <c r="J235" s="1" t="s">
        <v>16</v>
      </c>
      <c r="K235" s="3" t="s">
        <v>28</v>
      </c>
      <c r="L235" s="4">
        <v>51</v>
      </c>
      <c r="M235" s="4">
        <v>49</v>
      </c>
      <c r="N235" s="5">
        <v>96.1</v>
      </c>
      <c r="O235" s="4">
        <v>51</v>
      </c>
      <c r="P235" s="4">
        <v>7</v>
      </c>
      <c r="Q235" s="5">
        <v>13.7</v>
      </c>
      <c r="R235" s="2">
        <v>93</v>
      </c>
      <c r="HZ235" s="34"/>
    </row>
    <row r="236" spans="1:234" ht="15" customHeight="1">
      <c r="A236" s="66" t="s">
        <v>200</v>
      </c>
      <c r="B236" s="2">
        <v>2017</v>
      </c>
      <c r="C236" s="1" t="s">
        <v>8</v>
      </c>
      <c r="D236" s="1" t="s">
        <v>410</v>
      </c>
      <c r="E236" s="1" t="s">
        <v>201</v>
      </c>
      <c r="F236" s="1" t="s">
        <v>9</v>
      </c>
      <c r="G236" s="2">
        <v>2000</v>
      </c>
      <c r="H236" s="1" t="s">
        <v>22</v>
      </c>
      <c r="I236" s="1" t="s">
        <v>202</v>
      </c>
      <c r="J236" s="1" t="s">
        <v>16</v>
      </c>
      <c r="K236" s="3" t="s">
        <v>46</v>
      </c>
      <c r="L236" s="4">
        <v>106</v>
      </c>
      <c r="M236" s="4">
        <v>100</v>
      </c>
      <c r="N236" s="5">
        <v>94.3</v>
      </c>
      <c r="O236" s="4">
        <v>106</v>
      </c>
      <c r="P236" s="4">
        <v>17</v>
      </c>
      <c r="Q236" s="5">
        <v>16</v>
      </c>
      <c r="R236" s="2">
        <v>93</v>
      </c>
      <c r="HZ236" s="34"/>
    </row>
    <row r="237" spans="1:234" ht="15" customHeight="1">
      <c r="A237" s="66" t="s">
        <v>200</v>
      </c>
      <c r="B237" s="2">
        <v>2017</v>
      </c>
      <c r="C237" s="1" t="s">
        <v>8</v>
      </c>
      <c r="D237" s="1" t="s">
        <v>410</v>
      </c>
      <c r="E237" s="1" t="s">
        <v>201</v>
      </c>
      <c r="F237" s="1" t="s">
        <v>9</v>
      </c>
      <c r="G237" s="2">
        <v>2000</v>
      </c>
      <c r="H237" s="1" t="s">
        <v>22</v>
      </c>
      <c r="I237" s="1" t="s">
        <v>202</v>
      </c>
      <c r="J237" s="1" t="s">
        <v>16</v>
      </c>
      <c r="K237" s="3" t="s">
        <v>205</v>
      </c>
      <c r="L237" s="4">
        <v>144</v>
      </c>
      <c r="M237" s="4">
        <v>136</v>
      </c>
      <c r="N237" s="5">
        <v>94.4</v>
      </c>
      <c r="O237" s="4">
        <v>144</v>
      </c>
      <c r="P237" s="4">
        <v>35</v>
      </c>
      <c r="Q237" s="5">
        <v>24.3</v>
      </c>
      <c r="R237" s="2">
        <v>93</v>
      </c>
      <c r="HZ237" s="34"/>
    </row>
    <row r="238" spans="1:234" ht="15" customHeight="1">
      <c r="A238" s="66" t="s">
        <v>200</v>
      </c>
      <c r="B238" s="2">
        <v>2017</v>
      </c>
      <c r="C238" s="1" t="s">
        <v>8</v>
      </c>
      <c r="D238" s="1" t="s">
        <v>410</v>
      </c>
      <c r="E238" s="1" t="s">
        <v>201</v>
      </c>
      <c r="F238" s="1" t="s">
        <v>9</v>
      </c>
      <c r="G238" s="2">
        <v>2000</v>
      </c>
      <c r="H238" s="1" t="s">
        <v>22</v>
      </c>
      <c r="I238" s="1" t="s">
        <v>202</v>
      </c>
      <c r="J238" s="1" t="s">
        <v>23</v>
      </c>
      <c r="K238" s="3" t="s">
        <v>203</v>
      </c>
      <c r="L238" s="4">
        <v>225</v>
      </c>
      <c r="M238" s="4">
        <v>190</v>
      </c>
      <c r="N238" s="5">
        <v>84.4</v>
      </c>
      <c r="O238" s="4">
        <v>225</v>
      </c>
      <c r="P238" s="4">
        <v>49</v>
      </c>
      <c r="Q238" s="5">
        <v>21.8</v>
      </c>
      <c r="R238" s="2">
        <v>93</v>
      </c>
      <c r="HZ238" s="34"/>
    </row>
    <row r="239" spans="1:234" ht="15" customHeight="1">
      <c r="A239" s="66" t="s">
        <v>200</v>
      </c>
      <c r="B239" s="2">
        <v>2017</v>
      </c>
      <c r="C239" s="1" t="s">
        <v>8</v>
      </c>
      <c r="D239" s="1" t="s">
        <v>410</v>
      </c>
      <c r="E239" s="1" t="s">
        <v>201</v>
      </c>
      <c r="F239" s="1" t="s">
        <v>9</v>
      </c>
      <c r="G239" s="2">
        <v>2000</v>
      </c>
      <c r="H239" s="1" t="s">
        <v>22</v>
      </c>
      <c r="I239" s="1" t="s">
        <v>202</v>
      </c>
      <c r="J239" s="1" t="s">
        <v>23</v>
      </c>
      <c r="K239" s="3" t="s">
        <v>204</v>
      </c>
      <c r="L239" s="4">
        <v>60</v>
      </c>
      <c r="M239" s="4">
        <v>42</v>
      </c>
      <c r="N239" s="5">
        <v>70</v>
      </c>
      <c r="O239" s="4">
        <v>60</v>
      </c>
      <c r="P239" s="4">
        <v>5</v>
      </c>
      <c r="Q239" s="5">
        <v>8.3000000000000007</v>
      </c>
      <c r="R239" s="2">
        <v>93</v>
      </c>
      <c r="HZ239" s="34"/>
    </row>
    <row r="240" spans="1:234" ht="15" customHeight="1">
      <c r="A240" s="66" t="s">
        <v>200</v>
      </c>
      <c r="B240" s="2">
        <v>2017</v>
      </c>
      <c r="C240" s="1" t="s">
        <v>8</v>
      </c>
      <c r="D240" s="1" t="s">
        <v>410</v>
      </c>
      <c r="E240" s="1" t="s">
        <v>201</v>
      </c>
      <c r="F240" s="1" t="s">
        <v>9</v>
      </c>
      <c r="G240" s="2">
        <v>2000</v>
      </c>
      <c r="H240" s="1" t="s">
        <v>22</v>
      </c>
      <c r="I240" s="1" t="s">
        <v>202</v>
      </c>
      <c r="J240" s="1" t="s">
        <v>23</v>
      </c>
      <c r="K240" s="3" t="s">
        <v>24</v>
      </c>
      <c r="L240" s="4">
        <v>8</v>
      </c>
      <c r="M240" s="4">
        <v>8</v>
      </c>
      <c r="N240" s="5">
        <v>100</v>
      </c>
      <c r="O240" s="4">
        <v>8</v>
      </c>
      <c r="P240" s="4">
        <v>1</v>
      </c>
      <c r="Q240" s="5">
        <v>12.5</v>
      </c>
      <c r="R240" s="2">
        <v>93</v>
      </c>
      <c r="HZ240" s="34"/>
    </row>
    <row r="241" spans="1:234" ht="15" customHeight="1">
      <c r="A241" s="66" t="s">
        <v>200</v>
      </c>
      <c r="B241" s="2">
        <v>2017</v>
      </c>
      <c r="C241" s="1" t="s">
        <v>8</v>
      </c>
      <c r="D241" s="1" t="s">
        <v>410</v>
      </c>
      <c r="E241" s="1" t="s">
        <v>201</v>
      </c>
      <c r="F241" s="1" t="s">
        <v>9</v>
      </c>
      <c r="G241" s="2">
        <v>2000</v>
      </c>
      <c r="H241" s="1" t="s">
        <v>22</v>
      </c>
      <c r="I241" s="1" t="s">
        <v>202</v>
      </c>
      <c r="J241" s="1" t="s">
        <v>23</v>
      </c>
      <c r="K241" s="3" t="s">
        <v>25</v>
      </c>
      <c r="L241" s="4">
        <v>12</v>
      </c>
      <c r="M241" s="4">
        <v>10</v>
      </c>
      <c r="N241" s="5">
        <v>83.3</v>
      </c>
      <c r="O241" s="4">
        <v>12</v>
      </c>
      <c r="P241" s="4">
        <v>7</v>
      </c>
      <c r="Q241" s="5">
        <v>58.3</v>
      </c>
      <c r="R241" s="2">
        <v>93</v>
      </c>
      <c r="HZ241" s="34"/>
    </row>
    <row r="242" spans="1:234" ht="15" customHeight="1">
      <c r="A242" s="66" t="s">
        <v>200</v>
      </c>
      <c r="B242" s="2">
        <v>2017</v>
      </c>
      <c r="C242" s="1" t="s">
        <v>8</v>
      </c>
      <c r="D242" s="1" t="s">
        <v>410</v>
      </c>
      <c r="E242" s="1" t="s">
        <v>201</v>
      </c>
      <c r="F242" s="1" t="s">
        <v>9</v>
      </c>
      <c r="G242" s="2">
        <v>2000</v>
      </c>
      <c r="H242" s="1" t="s">
        <v>22</v>
      </c>
      <c r="I242" s="1" t="s">
        <v>202</v>
      </c>
      <c r="J242" s="1" t="s">
        <v>23</v>
      </c>
      <c r="K242" s="3" t="s">
        <v>26</v>
      </c>
      <c r="L242" s="4">
        <v>12</v>
      </c>
      <c r="M242" s="4">
        <v>11</v>
      </c>
      <c r="N242" s="5">
        <v>91.7</v>
      </c>
      <c r="O242" s="4">
        <v>12</v>
      </c>
      <c r="P242" s="4">
        <v>3</v>
      </c>
      <c r="Q242" s="5">
        <v>25</v>
      </c>
      <c r="R242" s="2">
        <v>93</v>
      </c>
      <c r="HZ242" s="34"/>
    </row>
    <row r="243" spans="1:234" ht="15" customHeight="1">
      <c r="A243" s="66" t="s">
        <v>200</v>
      </c>
      <c r="B243" s="2">
        <v>2017</v>
      </c>
      <c r="C243" s="1" t="s">
        <v>8</v>
      </c>
      <c r="D243" s="1" t="s">
        <v>410</v>
      </c>
      <c r="E243" s="1" t="s">
        <v>201</v>
      </c>
      <c r="F243" s="1" t="s">
        <v>9</v>
      </c>
      <c r="G243" s="2">
        <v>2000</v>
      </c>
      <c r="H243" s="1" t="s">
        <v>22</v>
      </c>
      <c r="I243" s="1" t="s">
        <v>202</v>
      </c>
      <c r="J243" s="1" t="s">
        <v>23</v>
      </c>
      <c r="K243" s="3" t="s">
        <v>27</v>
      </c>
      <c r="L243" s="4">
        <v>16</v>
      </c>
      <c r="M243" s="4">
        <v>14</v>
      </c>
      <c r="N243" s="5">
        <v>87.5</v>
      </c>
      <c r="O243" s="4">
        <v>16</v>
      </c>
      <c r="P243" s="4">
        <v>6</v>
      </c>
      <c r="Q243" s="5">
        <v>37.5</v>
      </c>
      <c r="R243" s="2">
        <v>93</v>
      </c>
      <c r="HZ243" s="34"/>
    </row>
    <row r="244" spans="1:234" ht="15" customHeight="1">
      <c r="A244" s="66" t="s">
        <v>200</v>
      </c>
      <c r="B244" s="2">
        <v>2017</v>
      </c>
      <c r="C244" s="1" t="s">
        <v>8</v>
      </c>
      <c r="D244" s="1" t="s">
        <v>410</v>
      </c>
      <c r="E244" s="1" t="s">
        <v>201</v>
      </c>
      <c r="F244" s="1" t="s">
        <v>9</v>
      </c>
      <c r="G244" s="2">
        <v>2000</v>
      </c>
      <c r="H244" s="1" t="s">
        <v>22</v>
      </c>
      <c r="I244" s="1" t="s">
        <v>202</v>
      </c>
      <c r="J244" s="1" t="s">
        <v>23</v>
      </c>
      <c r="K244" s="3" t="s">
        <v>28</v>
      </c>
      <c r="L244" s="4">
        <v>20</v>
      </c>
      <c r="M244" s="4">
        <v>20</v>
      </c>
      <c r="N244" s="5">
        <v>100</v>
      </c>
      <c r="O244" s="4">
        <v>20</v>
      </c>
      <c r="P244" s="4">
        <v>7</v>
      </c>
      <c r="Q244" s="5">
        <v>35</v>
      </c>
      <c r="R244" s="2">
        <v>93</v>
      </c>
      <c r="HZ244" s="34"/>
    </row>
    <row r="245" spans="1:234" ht="15" customHeight="1">
      <c r="A245" s="66" t="s">
        <v>200</v>
      </c>
      <c r="B245" s="2">
        <v>2017</v>
      </c>
      <c r="C245" s="1" t="s">
        <v>8</v>
      </c>
      <c r="D245" s="1" t="s">
        <v>410</v>
      </c>
      <c r="E245" s="1" t="s">
        <v>201</v>
      </c>
      <c r="F245" s="1" t="s">
        <v>9</v>
      </c>
      <c r="G245" s="2">
        <v>2000</v>
      </c>
      <c r="H245" s="1" t="s">
        <v>22</v>
      </c>
      <c r="I245" s="1" t="s">
        <v>202</v>
      </c>
      <c r="J245" s="1" t="s">
        <v>23</v>
      </c>
      <c r="K245" s="3" t="s">
        <v>46</v>
      </c>
      <c r="L245" s="4">
        <v>43</v>
      </c>
      <c r="M245" s="4">
        <v>38</v>
      </c>
      <c r="N245" s="5">
        <v>88.4</v>
      </c>
      <c r="O245" s="4">
        <v>43</v>
      </c>
      <c r="P245" s="4">
        <v>4</v>
      </c>
      <c r="Q245" s="5">
        <v>9.3000000000000007</v>
      </c>
      <c r="R245" s="2">
        <v>93</v>
      </c>
      <c r="HZ245" s="34"/>
    </row>
    <row r="246" spans="1:234" ht="15" customHeight="1">
      <c r="A246" s="66" t="s">
        <v>200</v>
      </c>
      <c r="B246" s="2">
        <v>2017</v>
      </c>
      <c r="C246" s="1" t="s">
        <v>8</v>
      </c>
      <c r="D246" s="1" t="s">
        <v>410</v>
      </c>
      <c r="E246" s="1" t="s">
        <v>201</v>
      </c>
      <c r="F246" s="1" t="s">
        <v>9</v>
      </c>
      <c r="G246" s="2">
        <v>2000</v>
      </c>
      <c r="H246" s="1" t="s">
        <v>22</v>
      </c>
      <c r="I246" s="1" t="s">
        <v>202</v>
      </c>
      <c r="J246" s="1" t="s">
        <v>23</v>
      </c>
      <c r="K246" s="3" t="s">
        <v>205</v>
      </c>
      <c r="L246" s="4">
        <v>54</v>
      </c>
      <c r="M246" s="4">
        <v>47</v>
      </c>
      <c r="N246" s="5">
        <v>87</v>
      </c>
      <c r="O246" s="4">
        <v>54</v>
      </c>
      <c r="P246" s="4">
        <v>16</v>
      </c>
      <c r="Q246" s="5">
        <v>29.6</v>
      </c>
      <c r="R246" s="2">
        <v>93</v>
      </c>
      <c r="HZ246" s="34"/>
    </row>
    <row r="247" spans="1:234" ht="15" customHeight="1">
      <c r="A247" s="66" t="s">
        <v>200</v>
      </c>
      <c r="B247" s="2">
        <v>2017</v>
      </c>
      <c r="C247" s="1" t="s">
        <v>8</v>
      </c>
      <c r="D247" s="1" t="s">
        <v>410</v>
      </c>
      <c r="E247" s="1" t="s">
        <v>201</v>
      </c>
      <c r="F247" s="1" t="s">
        <v>9</v>
      </c>
      <c r="G247" s="2">
        <v>2000</v>
      </c>
      <c r="H247" s="1" t="s">
        <v>22</v>
      </c>
      <c r="I247" s="1" t="s">
        <v>202</v>
      </c>
      <c r="J247" s="1" t="s">
        <v>11</v>
      </c>
      <c r="K247" s="3" t="s">
        <v>203</v>
      </c>
      <c r="L247" s="4">
        <v>396</v>
      </c>
      <c r="M247" s="4">
        <v>362</v>
      </c>
      <c r="N247" s="5">
        <v>91.4</v>
      </c>
      <c r="O247" s="4">
        <v>396</v>
      </c>
      <c r="P247" s="4">
        <v>90</v>
      </c>
      <c r="Q247" s="5">
        <v>22.7</v>
      </c>
      <c r="R247" s="2">
        <v>93</v>
      </c>
      <c r="HZ247" s="34"/>
    </row>
    <row r="248" spans="1:234" ht="15" customHeight="1">
      <c r="A248" s="66" t="s">
        <v>200</v>
      </c>
      <c r="B248" s="2">
        <v>2017</v>
      </c>
      <c r="C248" s="1" t="s">
        <v>8</v>
      </c>
      <c r="D248" s="1" t="s">
        <v>410</v>
      </c>
      <c r="E248" s="1" t="s">
        <v>201</v>
      </c>
      <c r="F248" s="1" t="s">
        <v>9</v>
      </c>
      <c r="G248" s="2">
        <v>2000</v>
      </c>
      <c r="H248" s="1" t="s">
        <v>22</v>
      </c>
      <c r="I248" s="1" t="s">
        <v>202</v>
      </c>
      <c r="J248" s="1" t="s">
        <v>11</v>
      </c>
      <c r="K248" s="3" t="s">
        <v>204</v>
      </c>
      <c r="L248" s="4">
        <v>40</v>
      </c>
      <c r="M248" s="4">
        <v>23</v>
      </c>
      <c r="N248" s="5">
        <v>57.5</v>
      </c>
      <c r="O248" s="4">
        <v>40</v>
      </c>
      <c r="P248" s="4">
        <v>3</v>
      </c>
      <c r="Q248" s="5">
        <v>7.5</v>
      </c>
      <c r="R248" s="2">
        <v>93</v>
      </c>
      <c r="HZ248" s="34"/>
    </row>
    <row r="249" spans="1:234" ht="15" customHeight="1">
      <c r="A249" s="66" t="s">
        <v>200</v>
      </c>
      <c r="B249" s="2">
        <v>2017</v>
      </c>
      <c r="C249" s="1" t="s">
        <v>8</v>
      </c>
      <c r="D249" s="1" t="s">
        <v>410</v>
      </c>
      <c r="E249" s="1" t="s">
        <v>201</v>
      </c>
      <c r="F249" s="1" t="s">
        <v>9</v>
      </c>
      <c r="G249" s="2">
        <v>2000</v>
      </c>
      <c r="H249" s="1" t="s">
        <v>22</v>
      </c>
      <c r="I249" s="1" t="s">
        <v>202</v>
      </c>
      <c r="J249" s="1" t="s">
        <v>11</v>
      </c>
      <c r="K249" s="3" t="s">
        <v>24</v>
      </c>
      <c r="L249" s="4">
        <v>41</v>
      </c>
      <c r="M249" s="4">
        <v>35</v>
      </c>
      <c r="N249" s="5">
        <v>85.4</v>
      </c>
      <c r="O249" s="4">
        <v>41</v>
      </c>
      <c r="P249" s="4">
        <v>14</v>
      </c>
      <c r="Q249" s="5">
        <v>34.1</v>
      </c>
      <c r="R249" s="2">
        <v>93</v>
      </c>
      <c r="HZ249" s="34"/>
    </row>
    <row r="250" spans="1:234" ht="15" customHeight="1">
      <c r="A250" s="66" t="s">
        <v>200</v>
      </c>
      <c r="B250" s="2">
        <v>2017</v>
      </c>
      <c r="C250" s="1" t="s">
        <v>8</v>
      </c>
      <c r="D250" s="1" t="s">
        <v>410</v>
      </c>
      <c r="E250" s="1" t="s">
        <v>201</v>
      </c>
      <c r="F250" s="1" t="s">
        <v>9</v>
      </c>
      <c r="G250" s="2">
        <v>2000</v>
      </c>
      <c r="H250" s="1" t="s">
        <v>22</v>
      </c>
      <c r="I250" s="1" t="s">
        <v>202</v>
      </c>
      <c r="J250" s="1" t="s">
        <v>11</v>
      </c>
      <c r="K250" s="3" t="s">
        <v>25</v>
      </c>
      <c r="L250" s="4">
        <v>39</v>
      </c>
      <c r="M250" s="4">
        <v>39</v>
      </c>
      <c r="N250" s="5">
        <v>100</v>
      </c>
      <c r="O250" s="4">
        <v>39</v>
      </c>
      <c r="P250" s="4">
        <v>17</v>
      </c>
      <c r="Q250" s="5">
        <v>43.6</v>
      </c>
      <c r="R250" s="2">
        <v>93</v>
      </c>
      <c r="HZ250" s="34"/>
    </row>
    <row r="251" spans="1:234" ht="15" customHeight="1">
      <c r="A251" s="66" t="s">
        <v>200</v>
      </c>
      <c r="B251" s="2">
        <v>2017</v>
      </c>
      <c r="C251" s="1" t="s">
        <v>8</v>
      </c>
      <c r="D251" s="1" t="s">
        <v>410</v>
      </c>
      <c r="E251" s="1" t="s">
        <v>201</v>
      </c>
      <c r="F251" s="1" t="s">
        <v>9</v>
      </c>
      <c r="G251" s="2">
        <v>2000</v>
      </c>
      <c r="H251" s="1" t="s">
        <v>22</v>
      </c>
      <c r="I251" s="1" t="s">
        <v>202</v>
      </c>
      <c r="J251" s="1" t="s">
        <v>11</v>
      </c>
      <c r="K251" s="3" t="s">
        <v>26</v>
      </c>
      <c r="L251" s="4">
        <v>42</v>
      </c>
      <c r="M251" s="4">
        <v>38</v>
      </c>
      <c r="N251" s="5">
        <v>90.5</v>
      </c>
      <c r="O251" s="4">
        <v>42</v>
      </c>
      <c r="P251" s="4">
        <v>16</v>
      </c>
      <c r="Q251" s="5">
        <v>38.1</v>
      </c>
      <c r="R251" s="2">
        <v>93</v>
      </c>
      <c r="HZ251" s="34"/>
    </row>
    <row r="252" spans="1:234" ht="15" customHeight="1">
      <c r="A252" s="66" t="s">
        <v>200</v>
      </c>
      <c r="B252" s="2">
        <v>2017</v>
      </c>
      <c r="C252" s="1" t="s">
        <v>8</v>
      </c>
      <c r="D252" s="1" t="s">
        <v>410</v>
      </c>
      <c r="E252" s="1" t="s">
        <v>201</v>
      </c>
      <c r="F252" s="1" t="s">
        <v>9</v>
      </c>
      <c r="G252" s="2">
        <v>2000</v>
      </c>
      <c r="H252" s="1" t="s">
        <v>22</v>
      </c>
      <c r="I252" s="1" t="s">
        <v>202</v>
      </c>
      <c r="J252" s="1" t="s">
        <v>11</v>
      </c>
      <c r="K252" s="3" t="s">
        <v>27</v>
      </c>
      <c r="L252" s="4">
        <v>50</v>
      </c>
      <c r="M252" s="4">
        <v>47</v>
      </c>
      <c r="N252" s="5">
        <v>94</v>
      </c>
      <c r="O252" s="4">
        <v>50</v>
      </c>
      <c r="P252" s="4">
        <v>8</v>
      </c>
      <c r="Q252" s="5">
        <v>16</v>
      </c>
      <c r="R252" s="2">
        <v>93</v>
      </c>
      <c r="HZ252" s="34"/>
    </row>
    <row r="253" spans="1:234" ht="15" customHeight="1">
      <c r="A253" s="66" t="s">
        <v>200</v>
      </c>
      <c r="B253" s="2">
        <v>2017</v>
      </c>
      <c r="C253" s="1" t="s">
        <v>8</v>
      </c>
      <c r="D253" s="1" t="s">
        <v>410</v>
      </c>
      <c r="E253" s="1" t="s">
        <v>201</v>
      </c>
      <c r="F253" s="1" t="s">
        <v>9</v>
      </c>
      <c r="G253" s="2">
        <v>2000</v>
      </c>
      <c r="H253" s="1" t="s">
        <v>22</v>
      </c>
      <c r="I253" s="1" t="s">
        <v>202</v>
      </c>
      <c r="J253" s="1" t="s">
        <v>11</v>
      </c>
      <c r="K253" s="3" t="s">
        <v>28</v>
      </c>
      <c r="L253" s="4">
        <v>31</v>
      </c>
      <c r="M253" s="4">
        <v>29</v>
      </c>
      <c r="N253" s="5">
        <v>93.5</v>
      </c>
      <c r="O253" s="4">
        <v>31</v>
      </c>
      <c r="P253" s="4">
        <v>0</v>
      </c>
      <c r="Q253" s="5">
        <v>0</v>
      </c>
      <c r="R253" s="2">
        <v>93</v>
      </c>
      <c r="HZ253" s="34"/>
    </row>
    <row r="254" spans="1:234" ht="15" customHeight="1">
      <c r="A254" s="66" t="s">
        <v>200</v>
      </c>
      <c r="B254" s="2">
        <v>2017</v>
      </c>
      <c r="C254" s="1" t="s">
        <v>8</v>
      </c>
      <c r="D254" s="1" t="s">
        <v>410</v>
      </c>
      <c r="E254" s="1" t="s">
        <v>201</v>
      </c>
      <c r="F254" s="1" t="s">
        <v>9</v>
      </c>
      <c r="G254" s="2">
        <v>2000</v>
      </c>
      <c r="H254" s="1" t="s">
        <v>22</v>
      </c>
      <c r="I254" s="1" t="s">
        <v>202</v>
      </c>
      <c r="J254" s="1" t="s">
        <v>11</v>
      </c>
      <c r="K254" s="3" t="s">
        <v>46</v>
      </c>
      <c r="L254" s="4">
        <v>63</v>
      </c>
      <c r="M254" s="4">
        <v>62</v>
      </c>
      <c r="N254" s="5">
        <v>98.4</v>
      </c>
      <c r="O254" s="4">
        <v>63</v>
      </c>
      <c r="P254" s="4">
        <v>13</v>
      </c>
      <c r="Q254" s="5">
        <v>20.6</v>
      </c>
      <c r="R254" s="2">
        <v>93</v>
      </c>
      <c r="HZ254" s="34"/>
    </row>
    <row r="255" spans="1:234" ht="15" customHeight="1">
      <c r="A255" s="66" t="s">
        <v>200</v>
      </c>
      <c r="B255" s="2">
        <v>2017</v>
      </c>
      <c r="C255" s="1" t="s">
        <v>8</v>
      </c>
      <c r="D255" s="1" t="s">
        <v>410</v>
      </c>
      <c r="E255" s="1" t="s">
        <v>201</v>
      </c>
      <c r="F255" s="1" t="s">
        <v>9</v>
      </c>
      <c r="G255" s="2">
        <v>2000</v>
      </c>
      <c r="H255" s="1" t="s">
        <v>22</v>
      </c>
      <c r="I255" s="1" t="s">
        <v>202</v>
      </c>
      <c r="J255" s="1" t="s">
        <v>11</v>
      </c>
      <c r="K255" s="3" t="s">
        <v>205</v>
      </c>
      <c r="L255" s="4">
        <v>90</v>
      </c>
      <c r="M255" s="4">
        <v>89</v>
      </c>
      <c r="N255" s="5">
        <v>98.9</v>
      </c>
      <c r="O255" s="4">
        <v>90</v>
      </c>
      <c r="P255" s="4">
        <v>19</v>
      </c>
      <c r="Q255" s="5">
        <v>21.1</v>
      </c>
      <c r="R255" s="2">
        <v>93</v>
      </c>
      <c r="HZ255" s="34"/>
    </row>
    <row r="256" spans="1:234" ht="15" customHeight="1">
      <c r="A256" s="66" t="s">
        <v>200</v>
      </c>
      <c r="B256" s="2">
        <v>2017</v>
      </c>
      <c r="C256" s="1" t="s">
        <v>8</v>
      </c>
      <c r="D256" s="1" t="s">
        <v>410</v>
      </c>
      <c r="E256" s="1" t="s">
        <v>201</v>
      </c>
      <c r="F256" s="1" t="s">
        <v>9</v>
      </c>
      <c r="G256" s="2">
        <v>2005</v>
      </c>
      <c r="H256" s="1" t="s">
        <v>22</v>
      </c>
      <c r="I256" s="1" t="s">
        <v>202</v>
      </c>
      <c r="J256" s="1" t="s">
        <v>16</v>
      </c>
      <c r="K256" s="3" t="s">
        <v>203</v>
      </c>
      <c r="L256" s="4">
        <v>615</v>
      </c>
      <c r="M256" s="4">
        <v>515</v>
      </c>
      <c r="N256" s="5">
        <v>83.7</v>
      </c>
      <c r="O256" s="4">
        <v>615</v>
      </c>
      <c r="P256" s="4">
        <v>80</v>
      </c>
      <c r="Q256" s="5">
        <v>13</v>
      </c>
      <c r="R256" s="2">
        <v>93</v>
      </c>
      <c r="HZ256" s="34"/>
    </row>
    <row r="257" spans="1:234" ht="15" customHeight="1">
      <c r="A257" s="66" t="s">
        <v>200</v>
      </c>
      <c r="B257" s="2">
        <v>2017</v>
      </c>
      <c r="C257" s="1" t="s">
        <v>8</v>
      </c>
      <c r="D257" s="1" t="s">
        <v>410</v>
      </c>
      <c r="E257" s="1" t="s">
        <v>201</v>
      </c>
      <c r="F257" s="1" t="s">
        <v>9</v>
      </c>
      <c r="G257" s="2">
        <v>2005</v>
      </c>
      <c r="H257" s="1" t="s">
        <v>22</v>
      </c>
      <c r="I257" s="1" t="s">
        <v>202</v>
      </c>
      <c r="J257" s="1" t="s">
        <v>16</v>
      </c>
      <c r="K257" s="3" t="s">
        <v>204</v>
      </c>
      <c r="L257" s="4">
        <v>58</v>
      </c>
      <c r="M257" s="4">
        <v>30</v>
      </c>
      <c r="N257" s="5">
        <v>51.7</v>
      </c>
      <c r="O257" s="4">
        <v>58</v>
      </c>
      <c r="P257" s="4">
        <v>2</v>
      </c>
      <c r="Q257" s="5">
        <v>3.4</v>
      </c>
      <c r="R257" s="2">
        <v>93</v>
      </c>
      <c r="HZ257" s="34"/>
    </row>
    <row r="258" spans="1:234" ht="15" customHeight="1">
      <c r="A258" s="66" t="s">
        <v>200</v>
      </c>
      <c r="B258" s="2">
        <v>2017</v>
      </c>
      <c r="C258" s="1" t="s">
        <v>8</v>
      </c>
      <c r="D258" s="1" t="s">
        <v>410</v>
      </c>
      <c r="E258" s="1" t="s">
        <v>201</v>
      </c>
      <c r="F258" s="1" t="s">
        <v>9</v>
      </c>
      <c r="G258" s="2">
        <v>2005</v>
      </c>
      <c r="H258" s="1" t="s">
        <v>22</v>
      </c>
      <c r="I258" s="1" t="s">
        <v>202</v>
      </c>
      <c r="J258" s="1" t="s">
        <v>16</v>
      </c>
      <c r="K258" s="3" t="s">
        <v>24</v>
      </c>
      <c r="L258" s="4">
        <v>20</v>
      </c>
      <c r="M258" s="4">
        <v>7</v>
      </c>
      <c r="N258" s="5">
        <v>35</v>
      </c>
      <c r="O258" s="4">
        <v>20</v>
      </c>
      <c r="P258" s="4">
        <v>2</v>
      </c>
      <c r="Q258" s="5">
        <v>10</v>
      </c>
      <c r="R258" s="2">
        <v>93</v>
      </c>
      <c r="HZ258" s="34"/>
    </row>
    <row r="259" spans="1:234" ht="15" customHeight="1">
      <c r="A259" s="66" t="s">
        <v>200</v>
      </c>
      <c r="B259" s="2">
        <v>2017</v>
      </c>
      <c r="C259" s="1" t="s">
        <v>8</v>
      </c>
      <c r="D259" s="1" t="s">
        <v>410</v>
      </c>
      <c r="E259" s="1" t="s">
        <v>201</v>
      </c>
      <c r="F259" s="1" t="s">
        <v>9</v>
      </c>
      <c r="G259" s="2">
        <v>2005</v>
      </c>
      <c r="H259" s="1" t="s">
        <v>22</v>
      </c>
      <c r="I259" s="1" t="s">
        <v>202</v>
      </c>
      <c r="J259" s="1" t="s">
        <v>16</v>
      </c>
      <c r="K259" s="3" t="s">
        <v>25</v>
      </c>
      <c r="L259" s="4">
        <v>21</v>
      </c>
      <c r="M259" s="4">
        <v>14</v>
      </c>
      <c r="N259" s="5">
        <v>66.7</v>
      </c>
      <c r="O259" s="4">
        <v>21</v>
      </c>
      <c r="P259" s="4">
        <v>2</v>
      </c>
      <c r="Q259" s="5">
        <v>9.5</v>
      </c>
      <c r="R259" s="2">
        <v>93</v>
      </c>
      <c r="HZ259" s="34"/>
    </row>
    <row r="260" spans="1:234" ht="15" customHeight="1">
      <c r="A260" s="66" t="s">
        <v>200</v>
      </c>
      <c r="B260" s="2">
        <v>2017</v>
      </c>
      <c r="C260" s="1" t="s">
        <v>8</v>
      </c>
      <c r="D260" s="1" t="s">
        <v>410</v>
      </c>
      <c r="E260" s="1" t="s">
        <v>201</v>
      </c>
      <c r="F260" s="1" t="s">
        <v>9</v>
      </c>
      <c r="G260" s="2">
        <v>2005</v>
      </c>
      <c r="H260" s="1" t="s">
        <v>22</v>
      </c>
      <c r="I260" s="1" t="s">
        <v>202</v>
      </c>
      <c r="J260" s="1" t="s">
        <v>16</v>
      </c>
      <c r="K260" s="3" t="s">
        <v>26</v>
      </c>
      <c r="L260" s="4">
        <v>36</v>
      </c>
      <c r="M260" s="4">
        <v>30</v>
      </c>
      <c r="N260" s="5">
        <v>83.3</v>
      </c>
      <c r="O260" s="4">
        <v>36</v>
      </c>
      <c r="P260" s="4">
        <v>8</v>
      </c>
      <c r="Q260" s="5">
        <v>22.2</v>
      </c>
      <c r="R260" s="2">
        <v>93</v>
      </c>
      <c r="HZ260" s="34"/>
    </row>
    <row r="261" spans="1:234" ht="15" customHeight="1">
      <c r="A261" s="66" t="s">
        <v>200</v>
      </c>
      <c r="B261" s="2">
        <v>2017</v>
      </c>
      <c r="C261" s="1" t="s">
        <v>8</v>
      </c>
      <c r="D261" s="1" t="s">
        <v>410</v>
      </c>
      <c r="E261" s="1" t="s">
        <v>201</v>
      </c>
      <c r="F261" s="1" t="s">
        <v>9</v>
      </c>
      <c r="G261" s="2">
        <v>2005</v>
      </c>
      <c r="H261" s="1" t="s">
        <v>22</v>
      </c>
      <c r="I261" s="1" t="s">
        <v>202</v>
      </c>
      <c r="J261" s="1" t="s">
        <v>16</v>
      </c>
      <c r="K261" s="3" t="s">
        <v>27</v>
      </c>
      <c r="L261" s="4">
        <v>39</v>
      </c>
      <c r="M261" s="4">
        <v>36</v>
      </c>
      <c r="N261" s="5">
        <v>92.3</v>
      </c>
      <c r="O261" s="4">
        <v>39</v>
      </c>
      <c r="P261" s="4">
        <v>7</v>
      </c>
      <c r="Q261" s="5">
        <v>17.899999999999999</v>
      </c>
      <c r="R261" s="2">
        <v>93</v>
      </c>
      <c r="HZ261" s="34"/>
    </row>
    <row r="262" spans="1:234" ht="15" customHeight="1">
      <c r="A262" s="66" t="s">
        <v>200</v>
      </c>
      <c r="B262" s="2">
        <v>2017</v>
      </c>
      <c r="C262" s="1" t="s">
        <v>8</v>
      </c>
      <c r="D262" s="1" t="s">
        <v>410</v>
      </c>
      <c r="E262" s="1" t="s">
        <v>201</v>
      </c>
      <c r="F262" s="1" t="s">
        <v>9</v>
      </c>
      <c r="G262" s="2">
        <v>2005</v>
      </c>
      <c r="H262" s="1" t="s">
        <v>22</v>
      </c>
      <c r="I262" s="1" t="s">
        <v>202</v>
      </c>
      <c r="J262" s="1" t="s">
        <v>16</v>
      </c>
      <c r="K262" s="3" t="s">
        <v>28</v>
      </c>
      <c r="L262" s="4">
        <v>53</v>
      </c>
      <c r="M262" s="4">
        <v>44</v>
      </c>
      <c r="N262" s="5">
        <v>83</v>
      </c>
      <c r="O262" s="4">
        <v>53</v>
      </c>
      <c r="P262" s="4">
        <v>9</v>
      </c>
      <c r="Q262" s="5">
        <v>17</v>
      </c>
      <c r="R262" s="2">
        <v>93</v>
      </c>
      <c r="HZ262" s="34"/>
    </row>
    <row r="263" spans="1:234" ht="15" customHeight="1">
      <c r="A263" s="66" t="s">
        <v>200</v>
      </c>
      <c r="B263" s="2">
        <v>2017</v>
      </c>
      <c r="C263" s="1" t="s">
        <v>8</v>
      </c>
      <c r="D263" s="1" t="s">
        <v>410</v>
      </c>
      <c r="E263" s="1" t="s">
        <v>201</v>
      </c>
      <c r="F263" s="1" t="s">
        <v>9</v>
      </c>
      <c r="G263" s="2">
        <v>2005</v>
      </c>
      <c r="H263" s="1" t="s">
        <v>22</v>
      </c>
      <c r="I263" s="1" t="s">
        <v>202</v>
      </c>
      <c r="J263" s="1" t="s">
        <v>16</v>
      </c>
      <c r="K263" s="3" t="s">
        <v>46</v>
      </c>
      <c r="L263" s="4">
        <v>98</v>
      </c>
      <c r="M263" s="4">
        <v>85</v>
      </c>
      <c r="N263" s="5">
        <v>86.7</v>
      </c>
      <c r="O263" s="4">
        <v>98</v>
      </c>
      <c r="P263" s="4">
        <v>15</v>
      </c>
      <c r="Q263" s="5">
        <v>15.3</v>
      </c>
      <c r="R263" s="2">
        <v>93</v>
      </c>
      <c r="HZ263" s="34"/>
    </row>
    <row r="264" spans="1:234" ht="15" customHeight="1">
      <c r="A264" s="66" t="s">
        <v>200</v>
      </c>
      <c r="B264" s="2">
        <v>2017</v>
      </c>
      <c r="C264" s="1" t="s">
        <v>8</v>
      </c>
      <c r="D264" s="1" t="s">
        <v>410</v>
      </c>
      <c r="E264" s="1" t="s">
        <v>201</v>
      </c>
      <c r="F264" s="1" t="s">
        <v>9</v>
      </c>
      <c r="G264" s="2">
        <v>2005</v>
      </c>
      <c r="H264" s="1" t="s">
        <v>22</v>
      </c>
      <c r="I264" s="1" t="s">
        <v>202</v>
      </c>
      <c r="J264" s="1" t="s">
        <v>16</v>
      </c>
      <c r="K264" s="3" t="s">
        <v>205</v>
      </c>
      <c r="L264" s="4">
        <v>290</v>
      </c>
      <c r="M264" s="4">
        <v>269</v>
      </c>
      <c r="N264" s="5">
        <v>92.8</v>
      </c>
      <c r="O264" s="4">
        <v>290</v>
      </c>
      <c r="P264" s="4">
        <v>35</v>
      </c>
      <c r="Q264" s="5">
        <v>12.1</v>
      </c>
      <c r="R264" s="2">
        <v>93</v>
      </c>
      <c r="HZ264" s="34"/>
    </row>
    <row r="265" spans="1:234" ht="15" customHeight="1">
      <c r="A265" s="66" t="s">
        <v>200</v>
      </c>
      <c r="B265" s="2">
        <v>2017</v>
      </c>
      <c r="C265" s="1" t="s">
        <v>8</v>
      </c>
      <c r="D265" s="1" t="s">
        <v>410</v>
      </c>
      <c r="E265" s="1" t="s">
        <v>201</v>
      </c>
      <c r="F265" s="1" t="s">
        <v>9</v>
      </c>
      <c r="G265" s="2">
        <v>2005</v>
      </c>
      <c r="H265" s="1" t="s">
        <v>22</v>
      </c>
      <c r="I265" s="1" t="s">
        <v>202</v>
      </c>
      <c r="J265" s="1" t="s">
        <v>23</v>
      </c>
      <c r="K265" s="3" t="s">
        <v>203</v>
      </c>
      <c r="L265" s="4">
        <v>281</v>
      </c>
      <c r="M265" s="4">
        <v>231</v>
      </c>
      <c r="N265" s="5">
        <v>82.2</v>
      </c>
      <c r="O265" s="4">
        <v>281</v>
      </c>
      <c r="P265" s="4">
        <v>25</v>
      </c>
      <c r="Q265" s="5">
        <v>8.9</v>
      </c>
      <c r="R265" s="2">
        <v>93</v>
      </c>
      <c r="HZ265" s="34"/>
    </row>
    <row r="266" spans="1:234" ht="15" customHeight="1">
      <c r="A266" s="66" t="s">
        <v>200</v>
      </c>
      <c r="B266" s="2">
        <v>2017</v>
      </c>
      <c r="C266" s="1" t="s">
        <v>8</v>
      </c>
      <c r="D266" s="1" t="s">
        <v>410</v>
      </c>
      <c r="E266" s="1" t="s">
        <v>201</v>
      </c>
      <c r="F266" s="1" t="s">
        <v>9</v>
      </c>
      <c r="G266" s="2">
        <v>2005</v>
      </c>
      <c r="H266" s="1" t="s">
        <v>22</v>
      </c>
      <c r="I266" s="1" t="s">
        <v>202</v>
      </c>
      <c r="J266" s="1" t="s">
        <v>23</v>
      </c>
      <c r="K266" s="3" t="s">
        <v>204</v>
      </c>
      <c r="L266" s="4">
        <v>39</v>
      </c>
      <c r="M266" s="4">
        <v>21</v>
      </c>
      <c r="N266" s="5">
        <v>53.8</v>
      </c>
      <c r="O266" s="4">
        <v>39</v>
      </c>
      <c r="P266" s="4">
        <v>1</v>
      </c>
      <c r="Q266" s="5">
        <v>2.6</v>
      </c>
      <c r="R266" s="2">
        <v>93</v>
      </c>
      <c r="HZ266" s="34"/>
    </row>
    <row r="267" spans="1:234" ht="15" customHeight="1">
      <c r="A267" s="66" t="s">
        <v>200</v>
      </c>
      <c r="B267" s="2">
        <v>2017</v>
      </c>
      <c r="C267" s="1" t="s">
        <v>8</v>
      </c>
      <c r="D267" s="1" t="s">
        <v>410</v>
      </c>
      <c r="E267" s="1" t="s">
        <v>201</v>
      </c>
      <c r="F267" s="1" t="s">
        <v>9</v>
      </c>
      <c r="G267" s="2">
        <v>2005</v>
      </c>
      <c r="H267" s="1" t="s">
        <v>22</v>
      </c>
      <c r="I267" s="1" t="s">
        <v>202</v>
      </c>
      <c r="J267" s="1" t="s">
        <v>23</v>
      </c>
      <c r="K267" s="3" t="s">
        <v>24</v>
      </c>
      <c r="L267" s="4">
        <v>10</v>
      </c>
      <c r="M267" s="4">
        <v>6</v>
      </c>
      <c r="N267" s="5">
        <v>60</v>
      </c>
      <c r="O267" s="4">
        <v>10</v>
      </c>
      <c r="P267" s="4">
        <v>1</v>
      </c>
      <c r="Q267" s="5">
        <v>10</v>
      </c>
      <c r="R267" s="2">
        <v>93</v>
      </c>
      <c r="HZ267" s="34"/>
    </row>
    <row r="268" spans="1:234" ht="15" customHeight="1">
      <c r="A268" s="66" t="s">
        <v>200</v>
      </c>
      <c r="B268" s="2">
        <v>2017</v>
      </c>
      <c r="C268" s="1" t="s">
        <v>8</v>
      </c>
      <c r="D268" s="1" t="s">
        <v>410</v>
      </c>
      <c r="E268" s="1" t="s">
        <v>201</v>
      </c>
      <c r="F268" s="1" t="s">
        <v>9</v>
      </c>
      <c r="G268" s="2">
        <v>2005</v>
      </c>
      <c r="H268" s="1" t="s">
        <v>22</v>
      </c>
      <c r="I268" s="1" t="s">
        <v>202</v>
      </c>
      <c r="J268" s="1" t="s">
        <v>23</v>
      </c>
      <c r="K268" s="3" t="s">
        <v>25</v>
      </c>
      <c r="L268" s="4">
        <v>10</v>
      </c>
      <c r="M268" s="4">
        <v>6</v>
      </c>
      <c r="N268" s="5">
        <v>60</v>
      </c>
      <c r="O268" s="4">
        <v>10</v>
      </c>
      <c r="P268" s="4">
        <v>1</v>
      </c>
      <c r="Q268" s="5">
        <v>10</v>
      </c>
      <c r="R268" s="2">
        <v>93</v>
      </c>
      <c r="HZ268" s="34"/>
    </row>
    <row r="269" spans="1:234" ht="15" customHeight="1">
      <c r="A269" s="66" t="s">
        <v>200</v>
      </c>
      <c r="B269" s="2">
        <v>2017</v>
      </c>
      <c r="C269" s="1" t="s">
        <v>8</v>
      </c>
      <c r="D269" s="1" t="s">
        <v>410</v>
      </c>
      <c r="E269" s="1" t="s">
        <v>201</v>
      </c>
      <c r="F269" s="1" t="s">
        <v>9</v>
      </c>
      <c r="G269" s="2">
        <v>2005</v>
      </c>
      <c r="H269" s="1" t="s">
        <v>22</v>
      </c>
      <c r="I269" s="1" t="s">
        <v>202</v>
      </c>
      <c r="J269" s="1" t="s">
        <v>23</v>
      </c>
      <c r="K269" s="3" t="s">
        <v>26</v>
      </c>
      <c r="L269" s="4">
        <v>7</v>
      </c>
      <c r="M269" s="4">
        <v>5</v>
      </c>
      <c r="N269" s="5">
        <v>71.400000000000006</v>
      </c>
      <c r="O269" s="4">
        <v>7</v>
      </c>
      <c r="P269" s="4">
        <v>1</v>
      </c>
      <c r="Q269" s="5">
        <v>14.3</v>
      </c>
      <c r="R269" s="2">
        <v>93</v>
      </c>
      <c r="HZ269" s="34"/>
    </row>
    <row r="270" spans="1:234" ht="15" customHeight="1">
      <c r="A270" s="66" t="s">
        <v>200</v>
      </c>
      <c r="B270" s="2">
        <v>2017</v>
      </c>
      <c r="C270" s="1" t="s">
        <v>8</v>
      </c>
      <c r="D270" s="1" t="s">
        <v>410</v>
      </c>
      <c r="E270" s="1" t="s">
        <v>201</v>
      </c>
      <c r="F270" s="1" t="s">
        <v>9</v>
      </c>
      <c r="G270" s="2">
        <v>2005</v>
      </c>
      <c r="H270" s="1" t="s">
        <v>22</v>
      </c>
      <c r="I270" s="1" t="s">
        <v>202</v>
      </c>
      <c r="J270" s="1" t="s">
        <v>23</v>
      </c>
      <c r="K270" s="3" t="s">
        <v>27</v>
      </c>
      <c r="L270" s="4">
        <v>11</v>
      </c>
      <c r="M270" s="4">
        <v>9</v>
      </c>
      <c r="N270" s="5">
        <v>81.8</v>
      </c>
      <c r="O270" s="4">
        <v>11</v>
      </c>
      <c r="P270" s="4">
        <v>3</v>
      </c>
      <c r="Q270" s="5">
        <v>27.3</v>
      </c>
      <c r="R270" s="2">
        <v>93</v>
      </c>
      <c r="HZ270" s="34"/>
    </row>
    <row r="271" spans="1:234" ht="15" customHeight="1">
      <c r="A271" s="66" t="s">
        <v>200</v>
      </c>
      <c r="B271" s="2">
        <v>2017</v>
      </c>
      <c r="C271" s="1" t="s">
        <v>8</v>
      </c>
      <c r="D271" s="1" t="s">
        <v>410</v>
      </c>
      <c r="E271" s="1" t="s">
        <v>201</v>
      </c>
      <c r="F271" s="1" t="s">
        <v>9</v>
      </c>
      <c r="G271" s="2">
        <v>2005</v>
      </c>
      <c r="H271" s="1" t="s">
        <v>22</v>
      </c>
      <c r="I271" s="1" t="s">
        <v>202</v>
      </c>
      <c r="J271" s="1" t="s">
        <v>23</v>
      </c>
      <c r="K271" s="3" t="s">
        <v>28</v>
      </c>
      <c r="L271" s="4">
        <v>16</v>
      </c>
      <c r="M271" s="4">
        <v>15</v>
      </c>
      <c r="N271" s="5">
        <v>93.7</v>
      </c>
      <c r="O271" s="4">
        <v>16</v>
      </c>
      <c r="P271" s="4">
        <v>2</v>
      </c>
      <c r="Q271" s="5">
        <v>12.5</v>
      </c>
      <c r="R271" s="2">
        <v>93</v>
      </c>
      <c r="HZ271" s="34"/>
    </row>
    <row r="272" spans="1:234" ht="15" customHeight="1">
      <c r="A272" s="66" t="s">
        <v>200</v>
      </c>
      <c r="B272" s="2">
        <v>2017</v>
      </c>
      <c r="C272" s="1" t="s">
        <v>8</v>
      </c>
      <c r="D272" s="1" t="s">
        <v>410</v>
      </c>
      <c r="E272" s="1" t="s">
        <v>201</v>
      </c>
      <c r="F272" s="1" t="s">
        <v>9</v>
      </c>
      <c r="G272" s="2">
        <v>2005</v>
      </c>
      <c r="H272" s="1" t="s">
        <v>22</v>
      </c>
      <c r="I272" s="1" t="s">
        <v>202</v>
      </c>
      <c r="J272" s="1" t="s">
        <v>23</v>
      </c>
      <c r="K272" s="3" t="s">
        <v>46</v>
      </c>
      <c r="L272" s="4">
        <v>39</v>
      </c>
      <c r="M272" s="4">
        <v>31</v>
      </c>
      <c r="N272" s="5">
        <v>79.5</v>
      </c>
      <c r="O272" s="4">
        <v>39</v>
      </c>
      <c r="P272" s="4">
        <v>1</v>
      </c>
      <c r="Q272" s="5">
        <v>2.6</v>
      </c>
      <c r="R272" s="2">
        <v>93</v>
      </c>
      <c r="HZ272" s="34"/>
    </row>
    <row r="273" spans="1:234" ht="15" customHeight="1">
      <c r="A273" s="66" t="s">
        <v>200</v>
      </c>
      <c r="B273" s="2">
        <v>2017</v>
      </c>
      <c r="C273" s="1" t="s">
        <v>8</v>
      </c>
      <c r="D273" s="1" t="s">
        <v>410</v>
      </c>
      <c r="E273" s="1" t="s">
        <v>201</v>
      </c>
      <c r="F273" s="1" t="s">
        <v>9</v>
      </c>
      <c r="G273" s="2">
        <v>2005</v>
      </c>
      <c r="H273" s="1" t="s">
        <v>22</v>
      </c>
      <c r="I273" s="1" t="s">
        <v>202</v>
      </c>
      <c r="J273" s="1" t="s">
        <v>23</v>
      </c>
      <c r="K273" s="3" t="s">
        <v>205</v>
      </c>
      <c r="L273" s="4">
        <v>149</v>
      </c>
      <c r="M273" s="4">
        <v>138</v>
      </c>
      <c r="N273" s="5">
        <v>92.6</v>
      </c>
      <c r="O273" s="4">
        <v>149</v>
      </c>
      <c r="P273" s="4">
        <v>15</v>
      </c>
      <c r="Q273" s="5">
        <v>10.1</v>
      </c>
      <c r="R273" s="2">
        <v>93</v>
      </c>
      <c r="HZ273" s="34"/>
    </row>
    <row r="274" spans="1:234" ht="15" customHeight="1">
      <c r="A274" s="66" t="s">
        <v>200</v>
      </c>
      <c r="B274" s="2">
        <v>2017</v>
      </c>
      <c r="C274" s="1" t="s">
        <v>8</v>
      </c>
      <c r="D274" s="1" t="s">
        <v>410</v>
      </c>
      <c r="E274" s="1" t="s">
        <v>201</v>
      </c>
      <c r="F274" s="1" t="s">
        <v>9</v>
      </c>
      <c r="G274" s="2">
        <v>2005</v>
      </c>
      <c r="H274" s="1" t="s">
        <v>22</v>
      </c>
      <c r="I274" s="1" t="s">
        <v>202</v>
      </c>
      <c r="J274" s="1" t="s">
        <v>11</v>
      </c>
      <c r="K274" s="3" t="s">
        <v>203</v>
      </c>
      <c r="L274" s="4">
        <v>334</v>
      </c>
      <c r="M274" s="4">
        <v>284</v>
      </c>
      <c r="N274" s="5">
        <v>85</v>
      </c>
      <c r="O274" s="4">
        <v>334</v>
      </c>
      <c r="P274" s="4">
        <v>55</v>
      </c>
      <c r="Q274" s="5">
        <v>16.5</v>
      </c>
      <c r="R274" s="2">
        <v>93</v>
      </c>
      <c r="HZ274" s="34"/>
    </row>
    <row r="275" spans="1:234" ht="15" customHeight="1">
      <c r="A275" s="66" t="s">
        <v>200</v>
      </c>
      <c r="B275" s="2">
        <v>2017</v>
      </c>
      <c r="C275" s="1" t="s">
        <v>8</v>
      </c>
      <c r="D275" s="1" t="s">
        <v>410</v>
      </c>
      <c r="E275" s="1" t="s">
        <v>201</v>
      </c>
      <c r="F275" s="1" t="s">
        <v>9</v>
      </c>
      <c r="G275" s="2">
        <v>2005</v>
      </c>
      <c r="H275" s="1" t="s">
        <v>22</v>
      </c>
      <c r="I275" s="1" t="s">
        <v>202</v>
      </c>
      <c r="J275" s="1" t="s">
        <v>11</v>
      </c>
      <c r="K275" s="3" t="s">
        <v>204</v>
      </c>
      <c r="L275" s="4">
        <v>19</v>
      </c>
      <c r="M275" s="4">
        <v>9</v>
      </c>
      <c r="N275" s="5">
        <v>47.4</v>
      </c>
      <c r="O275" s="4">
        <v>19</v>
      </c>
      <c r="P275" s="4">
        <v>1</v>
      </c>
      <c r="Q275" s="5">
        <v>5.3</v>
      </c>
      <c r="R275" s="2">
        <v>93</v>
      </c>
      <c r="HZ275" s="34"/>
    </row>
    <row r="276" spans="1:234" ht="15" customHeight="1">
      <c r="A276" s="66" t="s">
        <v>200</v>
      </c>
      <c r="B276" s="2">
        <v>2017</v>
      </c>
      <c r="C276" s="1" t="s">
        <v>8</v>
      </c>
      <c r="D276" s="1" t="s">
        <v>410</v>
      </c>
      <c r="E276" s="1" t="s">
        <v>201</v>
      </c>
      <c r="F276" s="1" t="s">
        <v>9</v>
      </c>
      <c r="G276" s="2">
        <v>2005</v>
      </c>
      <c r="H276" s="1" t="s">
        <v>22</v>
      </c>
      <c r="I276" s="1" t="s">
        <v>202</v>
      </c>
      <c r="J276" s="1" t="s">
        <v>11</v>
      </c>
      <c r="K276" s="3" t="s">
        <v>24</v>
      </c>
      <c r="L276" s="4">
        <v>10</v>
      </c>
      <c r="M276" s="4">
        <v>1</v>
      </c>
      <c r="N276" s="5">
        <v>10</v>
      </c>
      <c r="O276" s="4">
        <v>10</v>
      </c>
      <c r="P276" s="4">
        <v>1</v>
      </c>
      <c r="Q276" s="5">
        <v>10</v>
      </c>
      <c r="R276" s="2">
        <v>93</v>
      </c>
      <c r="HZ276" s="34"/>
    </row>
    <row r="277" spans="1:234" ht="15" customHeight="1">
      <c r="A277" s="66" t="s">
        <v>200</v>
      </c>
      <c r="B277" s="2">
        <v>2017</v>
      </c>
      <c r="C277" s="1" t="s">
        <v>8</v>
      </c>
      <c r="D277" s="1" t="s">
        <v>410</v>
      </c>
      <c r="E277" s="1" t="s">
        <v>201</v>
      </c>
      <c r="F277" s="1" t="s">
        <v>9</v>
      </c>
      <c r="G277" s="2">
        <v>2005</v>
      </c>
      <c r="H277" s="1" t="s">
        <v>22</v>
      </c>
      <c r="I277" s="1" t="s">
        <v>202</v>
      </c>
      <c r="J277" s="1" t="s">
        <v>11</v>
      </c>
      <c r="K277" s="3" t="s">
        <v>25</v>
      </c>
      <c r="L277" s="4">
        <v>11</v>
      </c>
      <c r="M277" s="4">
        <v>8</v>
      </c>
      <c r="N277" s="5">
        <v>72.7</v>
      </c>
      <c r="O277" s="4">
        <v>11</v>
      </c>
      <c r="P277" s="4">
        <v>1</v>
      </c>
      <c r="Q277" s="5">
        <v>9.1</v>
      </c>
      <c r="R277" s="2">
        <v>93</v>
      </c>
      <c r="HZ277" s="34"/>
    </row>
    <row r="278" spans="1:234" ht="15" customHeight="1">
      <c r="A278" s="66" t="s">
        <v>200</v>
      </c>
      <c r="B278" s="2">
        <v>2017</v>
      </c>
      <c r="C278" s="1" t="s">
        <v>8</v>
      </c>
      <c r="D278" s="1" t="s">
        <v>410</v>
      </c>
      <c r="E278" s="1" t="s">
        <v>201</v>
      </c>
      <c r="F278" s="1" t="s">
        <v>9</v>
      </c>
      <c r="G278" s="2">
        <v>2005</v>
      </c>
      <c r="H278" s="1" t="s">
        <v>22</v>
      </c>
      <c r="I278" s="1" t="s">
        <v>202</v>
      </c>
      <c r="J278" s="1" t="s">
        <v>11</v>
      </c>
      <c r="K278" s="3" t="s">
        <v>26</v>
      </c>
      <c r="L278" s="4">
        <v>29</v>
      </c>
      <c r="M278" s="4">
        <v>25</v>
      </c>
      <c r="N278" s="5">
        <v>86.2</v>
      </c>
      <c r="O278" s="4">
        <v>29</v>
      </c>
      <c r="P278" s="4">
        <v>7</v>
      </c>
      <c r="Q278" s="5">
        <v>24.1</v>
      </c>
      <c r="R278" s="2">
        <v>93</v>
      </c>
      <c r="HZ278" s="34"/>
    </row>
    <row r="279" spans="1:234" ht="15" customHeight="1">
      <c r="A279" s="66" t="s">
        <v>200</v>
      </c>
      <c r="B279" s="2">
        <v>2017</v>
      </c>
      <c r="C279" s="1" t="s">
        <v>8</v>
      </c>
      <c r="D279" s="1" t="s">
        <v>410</v>
      </c>
      <c r="E279" s="1" t="s">
        <v>201</v>
      </c>
      <c r="F279" s="1" t="s">
        <v>9</v>
      </c>
      <c r="G279" s="2">
        <v>2005</v>
      </c>
      <c r="H279" s="1" t="s">
        <v>22</v>
      </c>
      <c r="I279" s="1" t="s">
        <v>202</v>
      </c>
      <c r="J279" s="1" t="s">
        <v>11</v>
      </c>
      <c r="K279" s="3" t="s">
        <v>27</v>
      </c>
      <c r="L279" s="4">
        <v>28</v>
      </c>
      <c r="M279" s="4">
        <v>27</v>
      </c>
      <c r="N279" s="5">
        <v>96.4</v>
      </c>
      <c r="O279" s="4">
        <v>28</v>
      </c>
      <c r="P279" s="4">
        <v>4</v>
      </c>
      <c r="Q279" s="5">
        <v>14.3</v>
      </c>
      <c r="R279" s="2">
        <v>93</v>
      </c>
      <c r="HZ279" s="34"/>
    </row>
    <row r="280" spans="1:234" ht="15" customHeight="1">
      <c r="A280" s="66" t="s">
        <v>200</v>
      </c>
      <c r="B280" s="2">
        <v>2017</v>
      </c>
      <c r="C280" s="1" t="s">
        <v>8</v>
      </c>
      <c r="D280" s="1" t="s">
        <v>410</v>
      </c>
      <c r="E280" s="1" t="s">
        <v>201</v>
      </c>
      <c r="F280" s="1" t="s">
        <v>9</v>
      </c>
      <c r="G280" s="2">
        <v>2005</v>
      </c>
      <c r="H280" s="1" t="s">
        <v>22</v>
      </c>
      <c r="I280" s="1" t="s">
        <v>202</v>
      </c>
      <c r="J280" s="1" t="s">
        <v>11</v>
      </c>
      <c r="K280" s="3" t="s">
        <v>28</v>
      </c>
      <c r="L280" s="4">
        <v>37</v>
      </c>
      <c r="M280" s="4">
        <v>29</v>
      </c>
      <c r="N280" s="5">
        <v>78.400000000000006</v>
      </c>
      <c r="O280" s="4">
        <v>37</v>
      </c>
      <c r="P280" s="4">
        <v>7</v>
      </c>
      <c r="Q280" s="5">
        <v>18.899999999999999</v>
      </c>
      <c r="R280" s="2">
        <v>93</v>
      </c>
      <c r="HZ280" s="34"/>
    </row>
    <row r="281" spans="1:234" ht="15" customHeight="1">
      <c r="A281" s="66" t="s">
        <v>200</v>
      </c>
      <c r="B281" s="2">
        <v>2017</v>
      </c>
      <c r="C281" s="1" t="s">
        <v>8</v>
      </c>
      <c r="D281" s="1" t="s">
        <v>410</v>
      </c>
      <c r="E281" s="1" t="s">
        <v>201</v>
      </c>
      <c r="F281" s="1" t="s">
        <v>9</v>
      </c>
      <c r="G281" s="2">
        <v>2005</v>
      </c>
      <c r="H281" s="1" t="s">
        <v>22</v>
      </c>
      <c r="I281" s="1" t="s">
        <v>202</v>
      </c>
      <c r="J281" s="1" t="s">
        <v>11</v>
      </c>
      <c r="K281" s="3" t="s">
        <v>46</v>
      </c>
      <c r="L281" s="4">
        <v>59</v>
      </c>
      <c r="M281" s="4">
        <v>54</v>
      </c>
      <c r="N281" s="5">
        <v>91.5</v>
      </c>
      <c r="O281" s="4">
        <v>59</v>
      </c>
      <c r="P281" s="4">
        <v>14</v>
      </c>
      <c r="Q281" s="5">
        <v>23.7</v>
      </c>
      <c r="R281" s="2">
        <v>93</v>
      </c>
      <c r="HZ281" s="34"/>
    </row>
    <row r="282" spans="1:234" ht="15" customHeight="1">
      <c r="A282" s="66" t="s">
        <v>200</v>
      </c>
      <c r="B282" s="2">
        <v>2017</v>
      </c>
      <c r="C282" s="1" t="s">
        <v>8</v>
      </c>
      <c r="D282" s="1" t="s">
        <v>410</v>
      </c>
      <c r="E282" s="1" t="s">
        <v>201</v>
      </c>
      <c r="F282" s="1" t="s">
        <v>9</v>
      </c>
      <c r="G282" s="2">
        <v>2005</v>
      </c>
      <c r="H282" s="1" t="s">
        <v>22</v>
      </c>
      <c r="I282" s="1" t="s">
        <v>202</v>
      </c>
      <c r="J282" s="1" t="s">
        <v>11</v>
      </c>
      <c r="K282" s="3" t="s">
        <v>205</v>
      </c>
      <c r="L282" s="4">
        <v>141</v>
      </c>
      <c r="M282" s="4">
        <v>131</v>
      </c>
      <c r="N282" s="5">
        <v>92.9</v>
      </c>
      <c r="O282" s="4">
        <v>141</v>
      </c>
      <c r="P282" s="4">
        <v>20</v>
      </c>
      <c r="Q282" s="5">
        <v>14.2</v>
      </c>
      <c r="R282" s="2">
        <v>93</v>
      </c>
      <c r="HZ282" s="34"/>
    </row>
    <row r="283" spans="1:234" ht="15" customHeight="1">
      <c r="A283" s="66" t="s">
        <v>200</v>
      </c>
      <c r="B283" s="2">
        <v>2017</v>
      </c>
      <c r="C283" s="1" t="s">
        <v>8</v>
      </c>
      <c r="D283" s="1" t="s">
        <v>410</v>
      </c>
      <c r="E283" s="1" t="s">
        <v>201</v>
      </c>
      <c r="F283" s="1" t="s">
        <v>9</v>
      </c>
      <c r="G283" s="1" t="s">
        <v>198</v>
      </c>
      <c r="H283" s="1" t="s">
        <v>22</v>
      </c>
      <c r="I283" s="1" t="s">
        <v>202</v>
      </c>
      <c r="J283" s="1" t="s">
        <v>16</v>
      </c>
      <c r="K283" s="3" t="s">
        <v>203</v>
      </c>
      <c r="L283" s="4">
        <v>497</v>
      </c>
      <c r="M283" s="4">
        <v>348</v>
      </c>
      <c r="N283" s="5">
        <v>70</v>
      </c>
      <c r="O283" s="4">
        <v>497</v>
      </c>
      <c r="P283" s="4">
        <v>57</v>
      </c>
      <c r="Q283" s="5">
        <v>11.5</v>
      </c>
      <c r="R283" s="2">
        <v>93</v>
      </c>
      <c r="HZ283" s="34"/>
    </row>
    <row r="284" spans="1:234" ht="15" customHeight="1">
      <c r="A284" s="66" t="s">
        <v>200</v>
      </c>
      <c r="B284" s="2">
        <v>2017</v>
      </c>
      <c r="C284" s="1" t="s">
        <v>8</v>
      </c>
      <c r="D284" s="1" t="s">
        <v>410</v>
      </c>
      <c r="E284" s="1" t="s">
        <v>201</v>
      </c>
      <c r="F284" s="1" t="s">
        <v>9</v>
      </c>
      <c r="G284" s="1" t="s">
        <v>198</v>
      </c>
      <c r="H284" s="1" t="s">
        <v>22</v>
      </c>
      <c r="I284" s="1" t="s">
        <v>202</v>
      </c>
      <c r="J284" s="1" t="s">
        <v>16</v>
      </c>
      <c r="K284" s="3" t="s">
        <v>204</v>
      </c>
      <c r="L284" s="4">
        <v>15</v>
      </c>
      <c r="M284" s="4">
        <v>6</v>
      </c>
      <c r="N284" s="5">
        <v>40</v>
      </c>
      <c r="O284" s="4">
        <v>15</v>
      </c>
      <c r="P284" s="4">
        <v>0</v>
      </c>
      <c r="Q284" s="5">
        <v>0</v>
      </c>
      <c r="R284" s="2">
        <v>93</v>
      </c>
      <c r="HZ284" s="34"/>
    </row>
    <row r="285" spans="1:234" ht="15" customHeight="1">
      <c r="A285" s="66" t="s">
        <v>200</v>
      </c>
      <c r="B285" s="2">
        <v>2017</v>
      </c>
      <c r="C285" s="1" t="s">
        <v>8</v>
      </c>
      <c r="D285" s="1" t="s">
        <v>410</v>
      </c>
      <c r="E285" s="1" t="s">
        <v>201</v>
      </c>
      <c r="F285" s="1" t="s">
        <v>9</v>
      </c>
      <c r="G285" s="1" t="s">
        <v>198</v>
      </c>
      <c r="H285" s="1" t="s">
        <v>22</v>
      </c>
      <c r="I285" s="1" t="s">
        <v>202</v>
      </c>
      <c r="J285" s="1" t="s">
        <v>16</v>
      </c>
      <c r="K285" s="3" t="s">
        <v>24</v>
      </c>
      <c r="L285" s="4">
        <v>22</v>
      </c>
      <c r="M285" s="4">
        <v>6</v>
      </c>
      <c r="N285" s="5">
        <v>27.3</v>
      </c>
      <c r="O285" s="4">
        <v>22</v>
      </c>
      <c r="P285" s="4">
        <v>0</v>
      </c>
      <c r="Q285" s="5">
        <v>0</v>
      </c>
      <c r="R285" s="2">
        <v>93</v>
      </c>
      <c r="HZ285" s="34"/>
    </row>
    <row r="286" spans="1:234" ht="15" customHeight="1">
      <c r="A286" s="66" t="s">
        <v>200</v>
      </c>
      <c r="B286" s="2">
        <v>2017</v>
      </c>
      <c r="C286" s="1" t="s">
        <v>8</v>
      </c>
      <c r="D286" s="1" t="s">
        <v>410</v>
      </c>
      <c r="E286" s="1" t="s">
        <v>201</v>
      </c>
      <c r="F286" s="1" t="s">
        <v>9</v>
      </c>
      <c r="G286" s="1" t="s">
        <v>198</v>
      </c>
      <c r="H286" s="1" t="s">
        <v>22</v>
      </c>
      <c r="I286" s="1" t="s">
        <v>202</v>
      </c>
      <c r="J286" s="1" t="s">
        <v>16</v>
      </c>
      <c r="K286" s="3" t="s">
        <v>25</v>
      </c>
      <c r="L286" s="4">
        <v>45</v>
      </c>
      <c r="M286" s="4">
        <v>16</v>
      </c>
      <c r="N286" s="5">
        <v>35.6</v>
      </c>
      <c r="O286" s="4">
        <v>45</v>
      </c>
      <c r="P286" s="4">
        <v>5</v>
      </c>
      <c r="Q286" s="5">
        <v>11.1</v>
      </c>
      <c r="R286" s="2">
        <v>93</v>
      </c>
      <c r="HZ286" s="34"/>
    </row>
    <row r="287" spans="1:234" ht="15" customHeight="1">
      <c r="A287" s="66" t="s">
        <v>200</v>
      </c>
      <c r="B287" s="2">
        <v>2017</v>
      </c>
      <c r="C287" s="1" t="s">
        <v>8</v>
      </c>
      <c r="D287" s="1" t="s">
        <v>410</v>
      </c>
      <c r="E287" s="1" t="s">
        <v>201</v>
      </c>
      <c r="F287" s="1" t="s">
        <v>9</v>
      </c>
      <c r="G287" s="1" t="s">
        <v>198</v>
      </c>
      <c r="H287" s="1" t="s">
        <v>22</v>
      </c>
      <c r="I287" s="1" t="s">
        <v>202</v>
      </c>
      <c r="J287" s="1" t="s">
        <v>16</v>
      </c>
      <c r="K287" s="3" t="s">
        <v>26</v>
      </c>
      <c r="L287" s="4">
        <v>49</v>
      </c>
      <c r="M287" s="4">
        <v>36</v>
      </c>
      <c r="N287" s="5">
        <v>73.5</v>
      </c>
      <c r="O287" s="4">
        <v>49</v>
      </c>
      <c r="P287" s="4">
        <v>5</v>
      </c>
      <c r="Q287" s="5">
        <v>10.199999999999999</v>
      </c>
      <c r="R287" s="2">
        <v>93</v>
      </c>
      <c r="HZ287" s="34"/>
    </row>
    <row r="288" spans="1:234" ht="15" customHeight="1">
      <c r="A288" s="66" t="s">
        <v>200</v>
      </c>
      <c r="B288" s="2">
        <v>2017</v>
      </c>
      <c r="C288" s="1" t="s">
        <v>8</v>
      </c>
      <c r="D288" s="1" t="s">
        <v>410</v>
      </c>
      <c r="E288" s="1" t="s">
        <v>201</v>
      </c>
      <c r="F288" s="1" t="s">
        <v>9</v>
      </c>
      <c r="G288" s="1" t="s">
        <v>198</v>
      </c>
      <c r="H288" s="1" t="s">
        <v>22</v>
      </c>
      <c r="I288" s="1" t="s">
        <v>202</v>
      </c>
      <c r="J288" s="1" t="s">
        <v>16</v>
      </c>
      <c r="K288" s="3" t="s">
        <v>27</v>
      </c>
      <c r="L288" s="4">
        <v>50</v>
      </c>
      <c r="M288" s="4">
        <v>38</v>
      </c>
      <c r="N288" s="5">
        <v>76</v>
      </c>
      <c r="O288" s="4">
        <v>50</v>
      </c>
      <c r="P288" s="4">
        <v>1</v>
      </c>
      <c r="Q288" s="5">
        <v>2</v>
      </c>
      <c r="R288" s="2">
        <v>93</v>
      </c>
      <c r="HZ288" s="34"/>
    </row>
    <row r="289" spans="1:234" ht="15" customHeight="1">
      <c r="A289" s="66" t="s">
        <v>200</v>
      </c>
      <c r="B289" s="2">
        <v>2017</v>
      </c>
      <c r="C289" s="1" t="s">
        <v>8</v>
      </c>
      <c r="D289" s="1" t="s">
        <v>410</v>
      </c>
      <c r="E289" s="1" t="s">
        <v>201</v>
      </c>
      <c r="F289" s="1" t="s">
        <v>9</v>
      </c>
      <c r="G289" s="1" t="s">
        <v>198</v>
      </c>
      <c r="H289" s="1" t="s">
        <v>22</v>
      </c>
      <c r="I289" s="1" t="s">
        <v>202</v>
      </c>
      <c r="J289" s="1" t="s">
        <v>16</v>
      </c>
      <c r="K289" s="3" t="s">
        <v>28</v>
      </c>
      <c r="L289" s="4">
        <v>61</v>
      </c>
      <c r="M289" s="4">
        <v>41</v>
      </c>
      <c r="N289" s="5">
        <v>67.2</v>
      </c>
      <c r="O289" s="4">
        <v>61</v>
      </c>
      <c r="P289" s="4">
        <v>8</v>
      </c>
      <c r="Q289" s="5">
        <v>13.1</v>
      </c>
      <c r="R289" s="2">
        <v>93</v>
      </c>
      <c r="HZ289" s="34"/>
    </row>
    <row r="290" spans="1:234" ht="15" customHeight="1">
      <c r="A290" s="66" t="s">
        <v>200</v>
      </c>
      <c r="B290" s="2">
        <v>2017</v>
      </c>
      <c r="C290" s="1" t="s">
        <v>8</v>
      </c>
      <c r="D290" s="1" t="s">
        <v>410</v>
      </c>
      <c r="E290" s="1" t="s">
        <v>201</v>
      </c>
      <c r="F290" s="1" t="s">
        <v>9</v>
      </c>
      <c r="G290" s="1" t="s">
        <v>198</v>
      </c>
      <c r="H290" s="1" t="s">
        <v>22</v>
      </c>
      <c r="I290" s="1" t="s">
        <v>202</v>
      </c>
      <c r="J290" s="1" t="s">
        <v>16</v>
      </c>
      <c r="K290" s="3" t="s">
        <v>46</v>
      </c>
      <c r="L290" s="4">
        <v>110</v>
      </c>
      <c r="M290" s="4">
        <v>83</v>
      </c>
      <c r="N290" s="5">
        <v>75.400000000000006</v>
      </c>
      <c r="O290" s="4">
        <v>110</v>
      </c>
      <c r="P290" s="4">
        <v>18</v>
      </c>
      <c r="Q290" s="5">
        <v>16.399999999999999</v>
      </c>
      <c r="R290" s="2">
        <v>93</v>
      </c>
      <c r="HZ290" s="34"/>
    </row>
    <row r="291" spans="1:234" ht="15" customHeight="1">
      <c r="A291" s="66" t="s">
        <v>200</v>
      </c>
      <c r="B291" s="2">
        <v>2017</v>
      </c>
      <c r="C291" s="1" t="s">
        <v>8</v>
      </c>
      <c r="D291" s="1" t="s">
        <v>410</v>
      </c>
      <c r="E291" s="1" t="s">
        <v>201</v>
      </c>
      <c r="F291" s="1" t="s">
        <v>9</v>
      </c>
      <c r="G291" s="1" t="s">
        <v>198</v>
      </c>
      <c r="H291" s="1" t="s">
        <v>22</v>
      </c>
      <c r="I291" s="1" t="s">
        <v>202</v>
      </c>
      <c r="J291" s="1" t="s">
        <v>16</v>
      </c>
      <c r="K291" s="3" t="s">
        <v>205</v>
      </c>
      <c r="L291" s="4">
        <v>145</v>
      </c>
      <c r="M291" s="4">
        <v>122</v>
      </c>
      <c r="N291" s="5">
        <v>84.1</v>
      </c>
      <c r="O291" s="4">
        <v>145</v>
      </c>
      <c r="P291" s="4">
        <v>20</v>
      </c>
      <c r="Q291" s="5">
        <v>13.8</v>
      </c>
      <c r="R291" s="2">
        <v>93</v>
      </c>
      <c r="HZ291" s="34"/>
    </row>
    <row r="292" spans="1:234" ht="15" customHeight="1">
      <c r="A292" s="66" t="s">
        <v>200</v>
      </c>
      <c r="B292" s="2">
        <v>2017</v>
      </c>
      <c r="C292" s="1" t="s">
        <v>8</v>
      </c>
      <c r="D292" s="1" t="s">
        <v>410</v>
      </c>
      <c r="E292" s="1" t="s">
        <v>201</v>
      </c>
      <c r="F292" s="1" t="s">
        <v>9</v>
      </c>
      <c r="G292" s="1" t="s">
        <v>198</v>
      </c>
      <c r="H292" s="1" t="s">
        <v>22</v>
      </c>
      <c r="I292" s="1" t="s">
        <v>202</v>
      </c>
      <c r="J292" s="1" t="s">
        <v>23</v>
      </c>
      <c r="K292" s="3" t="s">
        <v>203</v>
      </c>
      <c r="L292" s="4">
        <v>237</v>
      </c>
      <c r="M292" s="4">
        <v>148</v>
      </c>
      <c r="N292" s="5">
        <v>62.4</v>
      </c>
      <c r="O292" s="4">
        <v>237</v>
      </c>
      <c r="P292" s="4">
        <v>33</v>
      </c>
      <c r="Q292" s="5">
        <v>13.9</v>
      </c>
      <c r="R292" s="2">
        <v>93</v>
      </c>
      <c r="HZ292" s="34"/>
    </row>
    <row r="293" spans="1:234" ht="15" customHeight="1">
      <c r="A293" s="66" t="s">
        <v>200</v>
      </c>
      <c r="B293" s="2">
        <v>2017</v>
      </c>
      <c r="C293" s="1" t="s">
        <v>8</v>
      </c>
      <c r="D293" s="1" t="s">
        <v>410</v>
      </c>
      <c r="E293" s="1" t="s">
        <v>201</v>
      </c>
      <c r="F293" s="1" t="s">
        <v>9</v>
      </c>
      <c r="G293" s="1" t="s">
        <v>198</v>
      </c>
      <c r="H293" s="1" t="s">
        <v>22</v>
      </c>
      <c r="I293" s="1" t="s">
        <v>202</v>
      </c>
      <c r="J293" s="1" t="s">
        <v>23</v>
      </c>
      <c r="K293" s="3" t="s">
        <v>204</v>
      </c>
      <c r="L293" s="4">
        <v>10</v>
      </c>
      <c r="M293" s="4">
        <v>3</v>
      </c>
      <c r="N293" s="5">
        <v>30</v>
      </c>
      <c r="O293" s="4">
        <v>10</v>
      </c>
      <c r="P293" s="4">
        <v>0</v>
      </c>
      <c r="Q293" s="5">
        <v>0</v>
      </c>
      <c r="R293" s="2">
        <v>93</v>
      </c>
      <c r="HZ293" s="34"/>
    </row>
    <row r="294" spans="1:234" ht="15" customHeight="1">
      <c r="A294" s="66" t="s">
        <v>200</v>
      </c>
      <c r="B294" s="2">
        <v>2017</v>
      </c>
      <c r="C294" s="1" t="s">
        <v>8</v>
      </c>
      <c r="D294" s="1" t="s">
        <v>410</v>
      </c>
      <c r="E294" s="1" t="s">
        <v>201</v>
      </c>
      <c r="F294" s="1" t="s">
        <v>9</v>
      </c>
      <c r="G294" s="1" t="s">
        <v>198</v>
      </c>
      <c r="H294" s="1" t="s">
        <v>22</v>
      </c>
      <c r="I294" s="1" t="s">
        <v>202</v>
      </c>
      <c r="J294" s="1" t="s">
        <v>23</v>
      </c>
      <c r="K294" s="3" t="s">
        <v>24</v>
      </c>
      <c r="L294" s="4">
        <v>9</v>
      </c>
      <c r="M294" s="4">
        <v>2</v>
      </c>
      <c r="N294" s="5">
        <v>22.2</v>
      </c>
      <c r="O294" s="4">
        <v>9</v>
      </c>
      <c r="P294" s="4">
        <v>0</v>
      </c>
      <c r="Q294" s="5">
        <v>0</v>
      </c>
      <c r="R294" s="2">
        <v>93</v>
      </c>
      <c r="HZ294" s="34"/>
    </row>
    <row r="295" spans="1:234" ht="15" customHeight="1">
      <c r="A295" s="66" t="s">
        <v>200</v>
      </c>
      <c r="B295" s="2">
        <v>2017</v>
      </c>
      <c r="C295" s="1" t="s">
        <v>8</v>
      </c>
      <c r="D295" s="1" t="s">
        <v>410</v>
      </c>
      <c r="E295" s="1" t="s">
        <v>201</v>
      </c>
      <c r="F295" s="1" t="s">
        <v>9</v>
      </c>
      <c r="G295" s="1" t="s">
        <v>198</v>
      </c>
      <c r="H295" s="1" t="s">
        <v>22</v>
      </c>
      <c r="I295" s="1" t="s">
        <v>202</v>
      </c>
      <c r="J295" s="1" t="s">
        <v>23</v>
      </c>
      <c r="K295" s="3" t="s">
        <v>25</v>
      </c>
      <c r="L295" s="4">
        <v>23</v>
      </c>
      <c r="M295" s="4">
        <v>7</v>
      </c>
      <c r="N295" s="5">
        <v>30.4</v>
      </c>
      <c r="O295" s="4">
        <v>23</v>
      </c>
      <c r="P295" s="4">
        <v>3</v>
      </c>
      <c r="Q295" s="5">
        <v>13</v>
      </c>
      <c r="R295" s="2">
        <v>93</v>
      </c>
      <c r="HZ295" s="34"/>
    </row>
    <row r="296" spans="1:234" ht="15" customHeight="1">
      <c r="A296" s="66" t="s">
        <v>200</v>
      </c>
      <c r="B296" s="2">
        <v>2017</v>
      </c>
      <c r="C296" s="1" t="s">
        <v>8</v>
      </c>
      <c r="D296" s="1" t="s">
        <v>410</v>
      </c>
      <c r="E296" s="1" t="s">
        <v>201</v>
      </c>
      <c r="F296" s="1" t="s">
        <v>9</v>
      </c>
      <c r="G296" s="1" t="s">
        <v>198</v>
      </c>
      <c r="H296" s="1" t="s">
        <v>22</v>
      </c>
      <c r="I296" s="1" t="s">
        <v>202</v>
      </c>
      <c r="J296" s="1" t="s">
        <v>23</v>
      </c>
      <c r="K296" s="3" t="s">
        <v>26</v>
      </c>
      <c r="L296" s="4">
        <v>26</v>
      </c>
      <c r="M296" s="4">
        <v>18</v>
      </c>
      <c r="N296" s="5">
        <v>69.2</v>
      </c>
      <c r="O296" s="4">
        <v>26</v>
      </c>
      <c r="P296" s="4">
        <v>4</v>
      </c>
      <c r="Q296" s="5">
        <v>15.4</v>
      </c>
      <c r="R296" s="2">
        <v>93</v>
      </c>
      <c r="HZ296" s="34"/>
    </row>
    <row r="297" spans="1:234" ht="15" customHeight="1">
      <c r="A297" s="66" t="s">
        <v>200</v>
      </c>
      <c r="B297" s="2">
        <v>2017</v>
      </c>
      <c r="C297" s="1" t="s">
        <v>8</v>
      </c>
      <c r="D297" s="1" t="s">
        <v>410</v>
      </c>
      <c r="E297" s="1" t="s">
        <v>201</v>
      </c>
      <c r="F297" s="1" t="s">
        <v>9</v>
      </c>
      <c r="G297" s="1" t="s">
        <v>198</v>
      </c>
      <c r="H297" s="1" t="s">
        <v>22</v>
      </c>
      <c r="I297" s="1" t="s">
        <v>202</v>
      </c>
      <c r="J297" s="1" t="s">
        <v>23</v>
      </c>
      <c r="K297" s="3" t="s">
        <v>27</v>
      </c>
      <c r="L297" s="4">
        <v>19</v>
      </c>
      <c r="M297" s="4">
        <v>10</v>
      </c>
      <c r="N297" s="5">
        <v>52.6</v>
      </c>
      <c r="O297" s="4">
        <v>19</v>
      </c>
      <c r="P297" s="4">
        <v>1</v>
      </c>
      <c r="Q297" s="5">
        <v>5.3</v>
      </c>
      <c r="R297" s="2">
        <v>93</v>
      </c>
      <c r="HZ297" s="34"/>
    </row>
    <row r="298" spans="1:234" ht="15" customHeight="1">
      <c r="A298" s="66" t="s">
        <v>200</v>
      </c>
      <c r="B298" s="2">
        <v>2017</v>
      </c>
      <c r="C298" s="1" t="s">
        <v>8</v>
      </c>
      <c r="D298" s="1" t="s">
        <v>410</v>
      </c>
      <c r="E298" s="1" t="s">
        <v>201</v>
      </c>
      <c r="F298" s="1" t="s">
        <v>9</v>
      </c>
      <c r="G298" s="1" t="s">
        <v>198</v>
      </c>
      <c r="H298" s="1" t="s">
        <v>22</v>
      </c>
      <c r="I298" s="1" t="s">
        <v>202</v>
      </c>
      <c r="J298" s="1" t="s">
        <v>23</v>
      </c>
      <c r="K298" s="3" t="s">
        <v>28</v>
      </c>
      <c r="L298" s="4">
        <v>25</v>
      </c>
      <c r="M298" s="4">
        <v>14</v>
      </c>
      <c r="N298" s="5">
        <v>56</v>
      </c>
      <c r="O298" s="4">
        <v>25</v>
      </c>
      <c r="P298" s="4">
        <v>5</v>
      </c>
      <c r="Q298" s="5">
        <v>20</v>
      </c>
      <c r="R298" s="2">
        <v>93</v>
      </c>
      <c r="HZ298" s="34"/>
    </row>
    <row r="299" spans="1:234" ht="15" customHeight="1">
      <c r="A299" s="66" t="s">
        <v>200</v>
      </c>
      <c r="B299" s="2">
        <v>2017</v>
      </c>
      <c r="C299" s="1" t="s">
        <v>8</v>
      </c>
      <c r="D299" s="1" t="s">
        <v>410</v>
      </c>
      <c r="E299" s="1" t="s">
        <v>201</v>
      </c>
      <c r="F299" s="1" t="s">
        <v>9</v>
      </c>
      <c r="G299" s="1" t="s">
        <v>198</v>
      </c>
      <c r="H299" s="1" t="s">
        <v>22</v>
      </c>
      <c r="I299" s="1" t="s">
        <v>202</v>
      </c>
      <c r="J299" s="1" t="s">
        <v>23</v>
      </c>
      <c r="K299" s="3" t="s">
        <v>46</v>
      </c>
      <c r="L299" s="4">
        <v>51</v>
      </c>
      <c r="M299" s="4">
        <v>36</v>
      </c>
      <c r="N299" s="5">
        <v>70.599999999999994</v>
      </c>
      <c r="O299" s="4">
        <v>51</v>
      </c>
      <c r="P299" s="4">
        <v>9</v>
      </c>
      <c r="Q299" s="5">
        <v>17.600000000000001</v>
      </c>
      <c r="R299" s="2">
        <v>93</v>
      </c>
      <c r="HZ299" s="34"/>
    </row>
    <row r="300" spans="1:234" ht="15" customHeight="1">
      <c r="A300" s="66" t="s">
        <v>200</v>
      </c>
      <c r="B300" s="2">
        <v>2017</v>
      </c>
      <c r="C300" s="1" t="s">
        <v>8</v>
      </c>
      <c r="D300" s="1" t="s">
        <v>410</v>
      </c>
      <c r="E300" s="1" t="s">
        <v>201</v>
      </c>
      <c r="F300" s="1" t="s">
        <v>9</v>
      </c>
      <c r="G300" s="1" t="s">
        <v>198</v>
      </c>
      <c r="H300" s="1" t="s">
        <v>22</v>
      </c>
      <c r="I300" s="1" t="s">
        <v>202</v>
      </c>
      <c r="J300" s="1" t="s">
        <v>23</v>
      </c>
      <c r="K300" s="3" t="s">
        <v>205</v>
      </c>
      <c r="L300" s="4">
        <v>74</v>
      </c>
      <c r="M300" s="4">
        <v>58</v>
      </c>
      <c r="N300" s="5">
        <v>78.400000000000006</v>
      </c>
      <c r="O300" s="4">
        <v>74</v>
      </c>
      <c r="P300" s="4">
        <v>11</v>
      </c>
      <c r="Q300" s="5">
        <v>14.9</v>
      </c>
      <c r="R300" s="2">
        <v>93</v>
      </c>
      <c r="HZ300" s="34"/>
    </row>
    <row r="301" spans="1:234" ht="15" customHeight="1">
      <c r="A301" s="66" t="s">
        <v>200</v>
      </c>
      <c r="B301" s="2">
        <v>2017</v>
      </c>
      <c r="C301" s="1" t="s">
        <v>8</v>
      </c>
      <c r="D301" s="1" t="s">
        <v>410</v>
      </c>
      <c r="E301" s="1" t="s">
        <v>201</v>
      </c>
      <c r="F301" s="1" t="s">
        <v>9</v>
      </c>
      <c r="G301" s="1" t="s">
        <v>198</v>
      </c>
      <c r="H301" s="1" t="s">
        <v>22</v>
      </c>
      <c r="I301" s="1" t="s">
        <v>202</v>
      </c>
      <c r="J301" s="1" t="s">
        <v>11</v>
      </c>
      <c r="K301" s="3" t="s">
        <v>203</v>
      </c>
      <c r="L301" s="4">
        <v>260</v>
      </c>
      <c r="M301" s="4">
        <v>200</v>
      </c>
      <c r="N301" s="5">
        <v>76.900000000000006</v>
      </c>
      <c r="O301" s="4">
        <v>260</v>
      </c>
      <c r="P301" s="4">
        <v>24</v>
      </c>
      <c r="Q301" s="5">
        <v>9.1999999999999993</v>
      </c>
      <c r="R301" s="2">
        <v>93</v>
      </c>
      <c r="HZ301" s="34"/>
    </row>
    <row r="302" spans="1:234" ht="15" customHeight="1">
      <c r="A302" s="66" t="s">
        <v>200</v>
      </c>
      <c r="B302" s="2">
        <v>2017</v>
      </c>
      <c r="C302" s="1" t="s">
        <v>8</v>
      </c>
      <c r="D302" s="1" t="s">
        <v>410</v>
      </c>
      <c r="E302" s="1" t="s">
        <v>201</v>
      </c>
      <c r="F302" s="1" t="s">
        <v>9</v>
      </c>
      <c r="G302" s="1" t="s">
        <v>198</v>
      </c>
      <c r="H302" s="1" t="s">
        <v>22</v>
      </c>
      <c r="I302" s="1" t="s">
        <v>202</v>
      </c>
      <c r="J302" s="1" t="s">
        <v>11</v>
      </c>
      <c r="K302" s="3" t="s">
        <v>204</v>
      </c>
      <c r="L302" s="4">
        <v>5</v>
      </c>
      <c r="M302" s="4">
        <v>3</v>
      </c>
      <c r="N302" s="5">
        <v>60</v>
      </c>
      <c r="O302" s="4">
        <v>5</v>
      </c>
      <c r="P302" s="4">
        <v>0</v>
      </c>
      <c r="Q302" s="5">
        <v>0</v>
      </c>
      <c r="R302" s="2">
        <v>93</v>
      </c>
      <c r="HZ302" s="34"/>
    </row>
    <row r="303" spans="1:234" ht="15" customHeight="1">
      <c r="A303" s="66" t="s">
        <v>200</v>
      </c>
      <c r="B303" s="2">
        <v>2017</v>
      </c>
      <c r="C303" s="1" t="s">
        <v>8</v>
      </c>
      <c r="D303" s="1" t="s">
        <v>410</v>
      </c>
      <c r="E303" s="1" t="s">
        <v>201</v>
      </c>
      <c r="F303" s="1" t="s">
        <v>9</v>
      </c>
      <c r="G303" s="1" t="s">
        <v>198</v>
      </c>
      <c r="H303" s="1" t="s">
        <v>22</v>
      </c>
      <c r="I303" s="1" t="s">
        <v>202</v>
      </c>
      <c r="J303" s="1" t="s">
        <v>11</v>
      </c>
      <c r="K303" s="3" t="s">
        <v>24</v>
      </c>
      <c r="L303" s="4">
        <v>13</v>
      </c>
      <c r="M303" s="4">
        <v>4</v>
      </c>
      <c r="N303" s="5">
        <v>30.8</v>
      </c>
      <c r="O303" s="4">
        <v>13</v>
      </c>
      <c r="P303" s="4">
        <v>0</v>
      </c>
      <c r="Q303" s="5">
        <v>0</v>
      </c>
      <c r="R303" s="2">
        <v>93</v>
      </c>
      <c r="HZ303" s="34"/>
    </row>
    <row r="304" spans="1:234" ht="15" customHeight="1">
      <c r="A304" s="66" t="s">
        <v>200</v>
      </c>
      <c r="B304" s="2">
        <v>2017</v>
      </c>
      <c r="C304" s="1" t="s">
        <v>8</v>
      </c>
      <c r="D304" s="1" t="s">
        <v>410</v>
      </c>
      <c r="E304" s="1" t="s">
        <v>201</v>
      </c>
      <c r="F304" s="1" t="s">
        <v>9</v>
      </c>
      <c r="G304" s="1" t="s">
        <v>198</v>
      </c>
      <c r="H304" s="1" t="s">
        <v>22</v>
      </c>
      <c r="I304" s="1" t="s">
        <v>202</v>
      </c>
      <c r="J304" s="1" t="s">
        <v>11</v>
      </c>
      <c r="K304" s="3" t="s">
        <v>25</v>
      </c>
      <c r="L304" s="4">
        <v>22</v>
      </c>
      <c r="M304" s="4">
        <v>9</v>
      </c>
      <c r="N304" s="5">
        <v>40.9</v>
      </c>
      <c r="O304" s="4">
        <v>22</v>
      </c>
      <c r="P304" s="4">
        <v>2</v>
      </c>
      <c r="Q304" s="5">
        <v>9.1</v>
      </c>
      <c r="R304" s="2">
        <v>93</v>
      </c>
      <c r="HZ304" s="34"/>
    </row>
    <row r="305" spans="1:234" ht="15" customHeight="1">
      <c r="A305" s="66" t="s">
        <v>200</v>
      </c>
      <c r="B305" s="2">
        <v>2017</v>
      </c>
      <c r="C305" s="1" t="s">
        <v>8</v>
      </c>
      <c r="D305" s="1" t="s">
        <v>410</v>
      </c>
      <c r="E305" s="1" t="s">
        <v>201</v>
      </c>
      <c r="F305" s="1" t="s">
        <v>9</v>
      </c>
      <c r="G305" s="1" t="s">
        <v>198</v>
      </c>
      <c r="H305" s="1" t="s">
        <v>22</v>
      </c>
      <c r="I305" s="1" t="s">
        <v>202</v>
      </c>
      <c r="J305" s="1" t="s">
        <v>11</v>
      </c>
      <c r="K305" s="3" t="s">
        <v>26</v>
      </c>
      <c r="L305" s="4">
        <v>23</v>
      </c>
      <c r="M305" s="4">
        <v>18</v>
      </c>
      <c r="N305" s="5">
        <v>78.3</v>
      </c>
      <c r="O305" s="4">
        <v>23</v>
      </c>
      <c r="P305" s="4">
        <v>1</v>
      </c>
      <c r="Q305" s="5">
        <v>4.3</v>
      </c>
      <c r="R305" s="2">
        <v>93</v>
      </c>
      <c r="HZ305" s="34"/>
    </row>
    <row r="306" spans="1:234" ht="15" customHeight="1">
      <c r="A306" s="66" t="s">
        <v>200</v>
      </c>
      <c r="B306" s="2">
        <v>2017</v>
      </c>
      <c r="C306" s="1" t="s">
        <v>8</v>
      </c>
      <c r="D306" s="1" t="s">
        <v>410</v>
      </c>
      <c r="E306" s="1" t="s">
        <v>201</v>
      </c>
      <c r="F306" s="1" t="s">
        <v>9</v>
      </c>
      <c r="G306" s="1" t="s">
        <v>198</v>
      </c>
      <c r="H306" s="1" t="s">
        <v>22</v>
      </c>
      <c r="I306" s="1" t="s">
        <v>202</v>
      </c>
      <c r="J306" s="1" t="s">
        <v>11</v>
      </c>
      <c r="K306" s="3" t="s">
        <v>27</v>
      </c>
      <c r="L306" s="4">
        <v>31</v>
      </c>
      <c r="M306" s="4">
        <v>28</v>
      </c>
      <c r="N306" s="5">
        <v>90.3</v>
      </c>
      <c r="O306" s="4">
        <v>31</v>
      </c>
      <c r="P306" s="4">
        <v>0</v>
      </c>
      <c r="Q306" s="5">
        <v>0</v>
      </c>
      <c r="R306" s="2">
        <v>93</v>
      </c>
      <c r="HZ306" s="34"/>
    </row>
    <row r="307" spans="1:234" ht="15" customHeight="1">
      <c r="A307" s="66" t="s">
        <v>200</v>
      </c>
      <c r="B307" s="2">
        <v>2017</v>
      </c>
      <c r="C307" s="1" t="s">
        <v>8</v>
      </c>
      <c r="D307" s="1" t="s">
        <v>410</v>
      </c>
      <c r="E307" s="1" t="s">
        <v>201</v>
      </c>
      <c r="F307" s="1" t="s">
        <v>9</v>
      </c>
      <c r="G307" s="1" t="s">
        <v>198</v>
      </c>
      <c r="H307" s="1" t="s">
        <v>22</v>
      </c>
      <c r="I307" s="1" t="s">
        <v>202</v>
      </c>
      <c r="J307" s="1" t="s">
        <v>11</v>
      </c>
      <c r="K307" s="3" t="s">
        <v>28</v>
      </c>
      <c r="L307" s="4">
        <v>36</v>
      </c>
      <c r="M307" s="4">
        <v>27</v>
      </c>
      <c r="N307" s="5">
        <v>75</v>
      </c>
      <c r="O307" s="4">
        <v>36</v>
      </c>
      <c r="P307" s="4">
        <v>3</v>
      </c>
      <c r="Q307" s="5">
        <v>8.3000000000000007</v>
      </c>
      <c r="R307" s="2">
        <v>93</v>
      </c>
      <c r="HZ307" s="34"/>
    </row>
    <row r="308" spans="1:234" ht="15" customHeight="1">
      <c r="A308" s="66" t="s">
        <v>200</v>
      </c>
      <c r="B308" s="2">
        <v>2017</v>
      </c>
      <c r="C308" s="1" t="s">
        <v>8</v>
      </c>
      <c r="D308" s="1" t="s">
        <v>410</v>
      </c>
      <c r="E308" s="1" t="s">
        <v>201</v>
      </c>
      <c r="F308" s="1" t="s">
        <v>9</v>
      </c>
      <c r="G308" s="1" t="s">
        <v>198</v>
      </c>
      <c r="H308" s="1" t="s">
        <v>22</v>
      </c>
      <c r="I308" s="1" t="s">
        <v>202</v>
      </c>
      <c r="J308" s="1" t="s">
        <v>11</v>
      </c>
      <c r="K308" s="3" t="s">
        <v>46</v>
      </c>
      <c r="L308" s="4">
        <v>59</v>
      </c>
      <c r="M308" s="4">
        <v>47</v>
      </c>
      <c r="N308" s="5">
        <v>79.7</v>
      </c>
      <c r="O308" s="4">
        <v>59</v>
      </c>
      <c r="P308" s="4">
        <v>9</v>
      </c>
      <c r="Q308" s="5">
        <v>15.2</v>
      </c>
      <c r="R308" s="2">
        <v>93</v>
      </c>
      <c r="HZ308" s="34"/>
    </row>
    <row r="309" spans="1:234" ht="15" customHeight="1">
      <c r="A309" s="66" t="s">
        <v>200</v>
      </c>
      <c r="B309" s="2">
        <v>2017</v>
      </c>
      <c r="C309" s="1" t="s">
        <v>8</v>
      </c>
      <c r="D309" s="1" t="s">
        <v>410</v>
      </c>
      <c r="E309" s="1" t="s">
        <v>201</v>
      </c>
      <c r="F309" s="1" t="s">
        <v>9</v>
      </c>
      <c r="G309" s="1" t="s">
        <v>198</v>
      </c>
      <c r="H309" s="1" t="s">
        <v>22</v>
      </c>
      <c r="I309" s="1" t="s">
        <v>202</v>
      </c>
      <c r="J309" s="1" t="s">
        <v>11</v>
      </c>
      <c r="K309" s="3" t="s">
        <v>205</v>
      </c>
      <c r="L309" s="4">
        <v>71</v>
      </c>
      <c r="M309" s="4">
        <v>64</v>
      </c>
      <c r="N309" s="5">
        <v>90.1</v>
      </c>
      <c r="O309" s="4">
        <v>71</v>
      </c>
      <c r="P309" s="4">
        <v>9</v>
      </c>
      <c r="Q309" s="5">
        <v>12.7</v>
      </c>
      <c r="R309" s="2">
        <v>93</v>
      </c>
      <c r="HZ309" s="34"/>
    </row>
    <row r="310" spans="1:234" ht="15" customHeight="1">
      <c r="A310" s="66" t="s">
        <v>207</v>
      </c>
      <c r="B310" s="2">
        <v>2015</v>
      </c>
      <c r="C310" s="1" t="s">
        <v>13</v>
      </c>
      <c r="D310" s="1" t="s">
        <v>610</v>
      </c>
      <c r="E310" s="1" t="s">
        <v>67</v>
      </c>
      <c r="F310" s="1" t="s">
        <v>9</v>
      </c>
      <c r="G310" s="2">
        <v>2006</v>
      </c>
      <c r="H310" s="1" t="s">
        <v>208</v>
      </c>
      <c r="I310" s="1" t="s">
        <v>209</v>
      </c>
      <c r="J310" s="1" t="s">
        <v>16</v>
      </c>
      <c r="K310" s="3" t="s">
        <v>210</v>
      </c>
      <c r="L310" s="4">
        <v>400</v>
      </c>
      <c r="M310" s="4">
        <v>145</v>
      </c>
      <c r="N310" s="5">
        <f t="shared" ref="N310:N315" si="21">M310*100/L310</f>
        <v>36.25</v>
      </c>
      <c r="O310" s="4">
        <v>400</v>
      </c>
      <c r="P310" s="4">
        <v>11</v>
      </c>
      <c r="Q310" s="5">
        <f t="shared" ref="Q310:Q315" si="22">P310*100/O310</f>
        <v>2.75</v>
      </c>
      <c r="R310" s="2">
        <v>94</v>
      </c>
      <c r="HZ310" s="34"/>
    </row>
    <row r="311" spans="1:234" ht="15" customHeight="1">
      <c r="A311" s="66" t="s">
        <v>207</v>
      </c>
      <c r="B311" s="2">
        <v>2015</v>
      </c>
      <c r="C311" s="1" t="s">
        <v>13</v>
      </c>
      <c r="D311" s="1" t="s">
        <v>610</v>
      </c>
      <c r="E311" s="1" t="s">
        <v>67</v>
      </c>
      <c r="F311" s="1" t="s">
        <v>9</v>
      </c>
      <c r="G311" s="2">
        <v>2006</v>
      </c>
      <c r="H311" s="1" t="s">
        <v>208</v>
      </c>
      <c r="I311" s="1" t="s">
        <v>209</v>
      </c>
      <c r="J311" s="1" t="s">
        <v>16</v>
      </c>
      <c r="K311" s="3" t="s">
        <v>211</v>
      </c>
      <c r="L311" s="4">
        <f t="shared" ref="L311:M314" si="23">L316+L321</f>
        <v>207</v>
      </c>
      <c r="M311" s="4">
        <f t="shared" si="23"/>
        <v>68</v>
      </c>
      <c r="N311" s="5">
        <f t="shared" si="21"/>
        <v>32.850241545893716</v>
      </c>
      <c r="O311" s="4">
        <f t="shared" ref="O311:P314" si="24">O316+O321</f>
        <v>207</v>
      </c>
      <c r="P311" s="4">
        <f t="shared" si="24"/>
        <v>6</v>
      </c>
      <c r="Q311" s="5">
        <f t="shared" si="22"/>
        <v>2.8985507246376812</v>
      </c>
      <c r="R311" s="2">
        <v>94</v>
      </c>
      <c r="HZ311" s="34"/>
    </row>
    <row r="312" spans="1:234" ht="15" customHeight="1">
      <c r="A312" s="66" t="s">
        <v>207</v>
      </c>
      <c r="B312" s="2">
        <v>2015</v>
      </c>
      <c r="C312" s="1" t="s">
        <v>13</v>
      </c>
      <c r="D312" s="1" t="s">
        <v>610</v>
      </c>
      <c r="E312" s="1" t="s">
        <v>67</v>
      </c>
      <c r="F312" s="1" t="s">
        <v>9</v>
      </c>
      <c r="G312" s="2">
        <v>2006</v>
      </c>
      <c r="H312" s="1" t="s">
        <v>208</v>
      </c>
      <c r="I312" s="1" t="s">
        <v>209</v>
      </c>
      <c r="J312" s="1" t="s">
        <v>16</v>
      </c>
      <c r="K312" s="3" t="s">
        <v>212</v>
      </c>
      <c r="L312" s="4">
        <f t="shared" si="23"/>
        <v>85</v>
      </c>
      <c r="M312" s="4">
        <f t="shared" si="23"/>
        <v>35</v>
      </c>
      <c r="N312" s="5">
        <f t="shared" si="21"/>
        <v>41.176470588235297</v>
      </c>
      <c r="O312" s="4">
        <f t="shared" si="24"/>
        <v>85</v>
      </c>
      <c r="P312" s="4">
        <f t="shared" si="24"/>
        <v>2</v>
      </c>
      <c r="Q312" s="5">
        <f t="shared" si="22"/>
        <v>2.3529411764705883</v>
      </c>
      <c r="R312" s="2">
        <v>94</v>
      </c>
      <c r="HZ312" s="34"/>
    </row>
    <row r="313" spans="1:234" ht="15" customHeight="1">
      <c r="A313" s="66" t="s">
        <v>207</v>
      </c>
      <c r="B313" s="2">
        <v>2015</v>
      </c>
      <c r="C313" s="1" t="s">
        <v>13</v>
      </c>
      <c r="D313" s="1" t="s">
        <v>610</v>
      </c>
      <c r="E313" s="1" t="s">
        <v>67</v>
      </c>
      <c r="F313" s="1" t="s">
        <v>9</v>
      </c>
      <c r="G313" s="2">
        <v>2006</v>
      </c>
      <c r="H313" s="1" t="s">
        <v>208</v>
      </c>
      <c r="I313" s="1" t="s">
        <v>209</v>
      </c>
      <c r="J313" s="1" t="s">
        <v>16</v>
      </c>
      <c r="K313" s="3" t="s">
        <v>213</v>
      </c>
      <c r="L313" s="4">
        <f t="shared" si="23"/>
        <v>73</v>
      </c>
      <c r="M313" s="4">
        <f t="shared" si="23"/>
        <v>24</v>
      </c>
      <c r="N313" s="5">
        <f t="shared" si="21"/>
        <v>32.876712328767127</v>
      </c>
      <c r="O313" s="4">
        <f t="shared" si="24"/>
        <v>73</v>
      </c>
      <c r="P313" s="4">
        <f t="shared" si="24"/>
        <v>1</v>
      </c>
      <c r="Q313" s="5">
        <f t="shared" si="22"/>
        <v>1.3698630136986301</v>
      </c>
      <c r="R313" s="2">
        <v>94</v>
      </c>
      <c r="HZ313" s="34"/>
    </row>
    <row r="314" spans="1:234" ht="15" customHeight="1">
      <c r="A314" s="66" t="s">
        <v>207</v>
      </c>
      <c r="B314" s="2">
        <v>2015</v>
      </c>
      <c r="C314" s="1" t="s">
        <v>13</v>
      </c>
      <c r="D314" s="1" t="s">
        <v>610</v>
      </c>
      <c r="E314" s="1" t="s">
        <v>67</v>
      </c>
      <c r="F314" s="1" t="s">
        <v>9</v>
      </c>
      <c r="G314" s="2">
        <v>2006</v>
      </c>
      <c r="H314" s="1" t="s">
        <v>208</v>
      </c>
      <c r="I314" s="1" t="s">
        <v>209</v>
      </c>
      <c r="J314" s="1" t="s">
        <v>16</v>
      </c>
      <c r="K314" s="3" t="s">
        <v>214</v>
      </c>
      <c r="L314" s="4">
        <f t="shared" si="23"/>
        <v>35</v>
      </c>
      <c r="M314" s="4">
        <f t="shared" si="23"/>
        <v>18</v>
      </c>
      <c r="N314" s="5">
        <f t="shared" si="21"/>
        <v>51.428571428571431</v>
      </c>
      <c r="O314" s="4">
        <f t="shared" si="24"/>
        <v>35</v>
      </c>
      <c r="P314" s="4">
        <f t="shared" si="24"/>
        <v>2</v>
      </c>
      <c r="Q314" s="5">
        <f t="shared" si="22"/>
        <v>5.7142857142857144</v>
      </c>
      <c r="R314" s="2">
        <v>94</v>
      </c>
      <c r="HZ314" s="34"/>
    </row>
    <row r="315" spans="1:234" ht="15" customHeight="1">
      <c r="A315" s="66" t="s">
        <v>207</v>
      </c>
      <c r="B315" s="2">
        <v>2015</v>
      </c>
      <c r="C315" s="1" t="s">
        <v>13</v>
      </c>
      <c r="D315" s="1" t="s">
        <v>610</v>
      </c>
      <c r="E315" s="1" t="s">
        <v>67</v>
      </c>
      <c r="F315" s="1" t="s">
        <v>9</v>
      </c>
      <c r="G315" s="2">
        <v>2006</v>
      </c>
      <c r="H315" s="1" t="s">
        <v>208</v>
      </c>
      <c r="I315" s="1" t="s">
        <v>209</v>
      </c>
      <c r="J315" s="1" t="s">
        <v>23</v>
      </c>
      <c r="K315" s="3" t="s">
        <v>210</v>
      </c>
      <c r="L315" s="4">
        <f>SUM(L316:L319)</f>
        <v>200</v>
      </c>
      <c r="M315" s="4">
        <f>SUM(M316:M319)</f>
        <v>67</v>
      </c>
      <c r="N315" s="5">
        <f t="shared" si="21"/>
        <v>33.5</v>
      </c>
      <c r="O315" s="4">
        <f>SUM(O316:O319)</f>
        <v>200</v>
      </c>
      <c r="P315" s="4">
        <f>SUM(P316:P319)</f>
        <v>3</v>
      </c>
      <c r="Q315" s="5">
        <f t="shared" si="22"/>
        <v>1.5</v>
      </c>
      <c r="R315" s="2">
        <v>94</v>
      </c>
      <c r="HZ315" s="34"/>
    </row>
    <row r="316" spans="1:234" ht="15" customHeight="1">
      <c r="A316" s="66" t="s">
        <v>207</v>
      </c>
      <c r="B316" s="2">
        <v>2015</v>
      </c>
      <c r="C316" s="1" t="s">
        <v>13</v>
      </c>
      <c r="D316" s="1" t="s">
        <v>610</v>
      </c>
      <c r="E316" s="1" t="s">
        <v>67</v>
      </c>
      <c r="F316" s="1" t="s">
        <v>9</v>
      </c>
      <c r="G316" s="2">
        <v>2006</v>
      </c>
      <c r="H316" s="1" t="s">
        <v>208</v>
      </c>
      <c r="I316" s="1" t="s">
        <v>209</v>
      </c>
      <c r="J316" s="1" t="s">
        <v>23</v>
      </c>
      <c r="K316" s="3" t="s">
        <v>211</v>
      </c>
      <c r="L316" s="4">
        <v>101</v>
      </c>
      <c r="M316" s="4">
        <v>27</v>
      </c>
      <c r="N316" s="5">
        <v>26.7</v>
      </c>
      <c r="O316" s="4">
        <v>101</v>
      </c>
      <c r="P316" s="4">
        <v>1</v>
      </c>
      <c r="Q316" s="5">
        <v>1</v>
      </c>
      <c r="R316" s="2">
        <v>94</v>
      </c>
      <c r="HZ316" s="34"/>
    </row>
    <row r="317" spans="1:234" ht="15" customHeight="1">
      <c r="A317" s="66" t="s">
        <v>207</v>
      </c>
      <c r="B317" s="2">
        <v>2015</v>
      </c>
      <c r="C317" s="1" t="s">
        <v>13</v>
      </c>
      <c r="D317" s="1" t="s">
        <v>610</v>
      </c>
      <c r="E317" s="1" t="s">
        <v>67</v>
      </c>
      <c r="F317" s="1" t="s">
        <v>9</v>
      </c>
      <c r="G317" s="2">
        <v>2006</v>
      </c>
      <c r="H317" s="1" t="s">
        <v>208</v>
      </c>
      <c r="I317" s="1" t="s">
        <v>209</v>
      </c>
      <c r="J317" s="1" t="s">
        <v>23</v>
      </c>
      <c r="K317" s="3" t="s">
        <v>212</v>
      </c>
      <c r="L317" s="4">
        <v>42</v>
      </c>
      <c r="M317" s="4">
        <v>17</v>
      </c>
      <c r="N317" s="5">
        <v>40.5</v>
      </c>
      <c r="O317" s="4">
        <v>42</v>
      </c>
      <c r="P317" s="4">
        <v>1</v>
      </c>
      <c r="Q317" s="5">
        <v>2.4</v>
      </c>
      <c r="R317" s="2">
        <v>94</v>
      </c>
      <c r="HZ317" s="34"/>
    </row>
    <row r="318" spans="1:234" ht="15" customHeight="1">
      <c r="A318" s="66" t="s">
        <v>207</v>
      </c>
      <c r="B318" s="2">
        <v>2015</v>
      </c>
      <c r="C318" s="1" t="s">
        <v>13</v>
      </c>
      <c r="D318" s="1" t="s">
        <v>610</v>
      </c>
      <c r="E318" s="1" t="s">
        <v>67</v>
      </c>
      <c r="F318" s="1" t="s">
        <v>9</v>
      </c>
      <c r="G318" s="2">
        <v>2006</v>
      </c>
      <c r="H318" s="1" t="s">
        <v>208</v>
      </c>
      <c r="I318" s="1" t="s">
        <v>209</v>
      </c>
      <c r="J318" s="1" t="s">
        <v>23</v>
      </c>
      <c r="K318" s="3" t="s">
        <v>213</v>
      </c>
      <c r="L318" s="4">
        <v>37</v>
      </c>
      <c r="M318" s="4">
        <v>12</v>
      </c>
      <c r="N318" s="5">
        <v>32.4</v>
      </c>
      <c r="O318" s="4">
        <v>37</v>
      </c>
      <c r="P318" s="4">
        <v>0</v>
      </c>
      <c r="Q318" s="5">
        <v>0</v>
      </c>
      <c r="R318" s="2">
        <v>94</v>
      </c>
      <c r="HZ318" s="34"/>
    </row>
    <row r="319" spans="1:234" ht="15" customHeight="1">
      <c r="A319" s="69" t="s">
        <v>207</v>
      </c>
      <c r="B319" s="2">
        <v>2015</v>
      </c>
      <c r="C319" s="1" t="s">
        <v>13</v>
      </c>
      <c r="D319" s="1" t="s">
        <v>610</v>
      </c>
      <c r="E319" s="1" t="s">
        <v>67</v>
      </c>
      <c r="F319" s="1" t="s">
        <v>9</v>
      </c>
      <c r="G319" s="2">
        <v>2006</v>
      </c>
      <c r="H319" s="1" t="s">
        <v>208</v>
      </c>
      <c r="I319" s="1" t="s">
        <v>209</v>
      </c>
      <c r="J319" s="1" t="s">
        <v>23</v>
      </c>
      <c r="K319" s="3" t="s">
        <v>214</v>
      </c>
      <c r="L319" s="4">
        <v>20</v>
      </c>
      <c r="M319" s="4">
        <v>11</v>
      </c>
      <c r="N319" s="5">
        <v>55</v>
      </c>
      <c r="O319" s="4">
        <v>20</v>
      </c>
      <c r="P319" s="4">
        <v>1</v>
      </c>
      <c r="Q319" s="5">
        <v>5</v>
      </c>
      <c r="R319" s="2">
        <v>94</v>
      </c>
      <c r="HZ319" s="34"/>
    </row>
    <row r="320" spans="1:234" ht="15" customHeight="1">
      <c r="A320" s="69" t="s">
        <v>207</v>
      </c>
      <c r="B320" s="2">
        <v>2015</v>
      </c>
      <c r="C320" s="1" t="s">
        <v>13</v>
      </c>
      <c r="D320" s="1" t="s">
        <v>610</v>
      </c>
      <c r="E320" s="1" t="s">
        <v>67</v>
      </c>
      <c r="F320" s="1" t="s">
        <v>9</v>
      </c>
      <c r="G320" s="2">
        <v>2006</v>
      </c>
      <c r="H320" s="1" t="s">
        <v>208</v>
      </c>
      <c r="I320" s="1" t="s">
        <v>209</v>
      </c>
      <c r="J320" s="1" t="s">
        <v>11</v>
      </c>
      <c r="K320" s="3" t="s">
        <v>210</v>
      </c>
      <c r="L320" s="4">
        <f>SUM(L321:L324)</f>
        <v>200</v>
      </c>
      <c r="M320" s="4">
        <f>SUM(M321:M324)</f>
        <v>78</v>
      </c>
      <c r="N320" s="5">
        <f>M320*100/L320</f>
        <v>39</v>
      </c>
      <c r="O320" s="4">
        <f>SUM(O321:O324)</f>
        <v>200</v>
      </c>
      <c r="P320" s="4">
        <f>SUM(P321:P324)</f>
        <v>8</v>
      </c>
      <c r="Q320" s="5">
        <f>P320*100/O320</f>
        <v>4</v>
      </c>
      <c r="R320" s="2">
        <v>94</v>
      </c>
      <c r="HZ320" s="34"/>
    </row>
    <row r="321" spans="1:234" ht="15" customHeight="1">
      <c r="A321" s="69" t="s">
        <v>207</v>
      </c>
      <c r="B321" s="2">
        <v>2015</v>
      </c>
      <c r="C321" s="1" t="s">
        <v>13</v>
      </c>
      <c r="D321" s="1" t="s">
        <v>610</v>
      </c>
      <c r="E321" s="1" t="s">
        <v>67</v>
      </c>
      <c r="F321" s="1" t="s">
        <v>9</v>
      </c>
      <c r="G321" s="2">
        <v>2006</v>
      </c>
      <c r="H321" s="1" t="s">
        <v>208</v>
      </c>
      <c r="I321" s="1" t="s">
        <v>209</v>
      </c>
      <c r="J321" s="1" t="s">
        <v>11</v>
      </c>
      <c r="K321" s="3" t="s">
        <v>211</v>
      </c>
      <c r="L321" s="4">
        <v>106</v>
      </c>
      <c r="M321" s="4">
        <v>41</v>
      </c>
      <c r="N321" s="5">
        <v>38.700000000000003</v>
      </c>
      <c r="O321" s="4">
        <v>106</v>
      </c>
      <c r="P321" s="4">
        <v>5</v>
      </c>
      <c r="Q321" s="5">
        <v>4.7</v>
      </c>
      <c r="R321" s="2">
        <v>94</v>
      </c>
      <c r="HZ321" s="34"/>
    </row>
    <row r="322" spans="1:234" ht="15" customHeight="1">
      <c r="A322" s="69" t="s">
        <v>207</v>
      </c>
      <c r="B322" s="2">
        <v>2015</v>
      </c>
      <c r="C322" s="1" t="s">
        <v>13</v>
      </c>
      <c r="D322" s="1" t="s">
        <v>610</v>
      </c>
      <c r="E322" s="1" t="s">
        <v>67</v>
      </c>
      <c r="F322" s="1" t="s">
        <v>9</v>
      </c>
      <c r="G322" s="2">
        <v>2006</v>
      </c>
      <c r="H322" s="1" t="s">
        <v>208</v>
      </c>
      <c r="I322" s="1" t="s">
        <v>209</v>
      </c>
      <c r="J322" s="1" t="s">
        <v>11</v>
      </c>
      <c r="K322" s="3" t="s">
        <v>212</v>
      </c>
      <c r="L322" s="4">
        <v>43</v>
      </c>
      <c r="M322" s="4">
        <v>18</v>
      </c>
      <c r="N322" s="5">
        <v>41.9</v>
      </c>
      <c r="O322" s="4">
        <v>43</v>
      </c>
      <c r="P322" s="4">
        <v>1</v>
      </c>
      <c r="Q322" s="5">
        <v>2.2999999999999998</v>
      </c>
      <c r="R322" s="2">
        <v>94</v>
      </c>
      <c r="HZ322" s="34"/>
    </row>
    <row r="323" spans="1:234" ht="15" customHeight="1">
      <c r="A323" s="69" t="s">
        <v>207</v>
      </c>
      <c r="B323" s="2">
        <v>2015</v>
      </c>
      <c r="C323" s="1" t="s">
        <v>13</v>
      </c>
      <c r="D323" s="1" t="s">
        <v>610</v>
      </c>
      <c r="E323" s="1" t="s">
        <v>67</v>
      </c>
      <c r="F323" s="1" t="s">
        <v>9</v>
      </c>
      <c r="G323" s="2">
        <v>2006</v>
      </c>
      <c r="H323" s="1" t="s">
        <v>208</v>
      </c>
      <c r="I323" s="1" t="s">
        <v>209</v>
      </c>
      <c r="J323" s="1" t="s">
        <v>11</v>
      </c>
      <c r="K323" s="3" t="s">
        <v>213</v>
      </c>
      <c r="L323" s="4">
        <v>36</v>
      </c>
      <c r="M323" s="4">
        <v>12</v>
      </c>
      <c r="N323" s="5">
        <v>33.299999999999997</v>
      </c>
      <c r="O323" s="4">
        <v>36</v>
      </c>
      <c r="P323" s="4">
        <v>1</v>
      </c>
      <c r="Q323" s="5">
        <v>2.8</v>
      </c>
      <c r="R323" s="2">
        <v>94</v>
      </c>
      <c r="HZ323" s="34"/>
    </row>
    <row r="324" spans="1:234" ht="15" customHeight="1">
      <c r="A324" s="69" t="s">
        <v>207</v>
      </c>
      <c r="B324" s="2">
        <v>2015</v>
      </c>
      <c r="C324" s="1" t="s">
        <v>13</v>
      </c>
      <c r="D324" s="1" t="s">
        <v>610</v>
      </c>
      <c r="E324" s="1" t="s">
        <v>67</v>
      </c>
      <c r="F324" s="1" t="s">
        <v>9</v>
      </c>
      <c r="G324" s="2">
        <v>2006</v>
      </c>
      <c r="H324" s="1" t="s">
        <v>208</v>
      </c>
      <c r="I324" s="1" t="s">
        <v>209</v>
      </c>
      <c r="J324" s="1" t="s">
        <v>11</v>
      </c>
      <c r="K324" s="3" t="s">
        <v>214</v>
      </c>
      <c r="L324" s="4">
        <v>15</v>
      </c>
      <c r="M324" s="4">
        <v>7</v>
      </c>
      <c r="N324" s="5">
        <v>46.7</v>
      </c>
      <c r="O324" s="4">
        <v>15</v>
      </c>
      <c r="P324" s="4">
        <v>1</v>
      </c>
      <c r="Q324" s="5">
        <v>6.7</v>
      </c>
      <c r="R324" s="2">
        <v>94</v>
      </c>
      <c r="HZ324" s="34"/>
    </row>
    <row r="325" spans="1:234" ht="15" customHeight="1">
      <c r="A325" s="66" t="s">
        <v>216</v>
      </c>
      <c r="B325" s="2">
        <v>2015</v>
      </c>
      <c r="C325" s="16" t="s">
        <v>607</v>
      </c>
      <c r="D325" s="1" t="s">
        <v>406</v>
      </c>
      <c r="E325" s="1" t="s">
        <v>43</v>
      </c>
      <c r="F325" s="1" t="s">
        <v>9</v>
      </c>
      <c r="G325" s="1" t="s">
        <v>217</v>
      </c>
      <c r="H325" s="1" t="s">
        <v>22</v>
      </c>
      <c r="I325" s="1" t="s">
        <v>218</v>
      </c>
      <c r="J325" s="1" t="s">
        <v>16</v>
      </c>
      <c r="K325" s="6" t="s">
        <v>219</v>
      </c>
      <c r="L325" s="4">
        <v>4985</v>
      </c>
      <c r="M325" s="4">
        <v>4425</v>
      </c>
      <c r="N325" s="5">
        <v>88.77</v>
      </c>
      <c r="O325" s="4">
        <v>4985</v>
      </c>
      <c r="P325" s="4">
        <v>63</v>
      </c>
      <c r="Q325" s="5">
        <v>1.26</v>
      </c>
      <c r="R325" s="2">
        <v>95</v>
      </c>
      <c r="HZ325" s="34"/>
    </row>
    <row r="326" spans="1:234" ht="15" customHeight="1">
      <c r="A326" s="66" t="s">
        <v>216</v>
      </c>
      <c r="B326" s="2">
        <v>2015</v>
      </c>
      <c r="C326" s="16" t="s">
        <v>607</v>
      </c>
      <c r="D326" s="1" t="s">
        <v>406</v>
      </c>
      <c r="E326" s="1" t="s">
        <v>43</v>
      </c>
      <c r="F326" s="1" t="s">
        <v>9</v>
      </c>
      <c r="G326" s="1" t="s">
        <v>217</v>
      </c>
      <c r="H326" s="1" t="s">
        <v>22</v>
      </c>
      <c r="I326" s="1" t="s">
        <v>218</v>
      </c>
      <c r="J326" s="1" t="s">
        <v>16</v>
      </c>
      <c r="K326" s="3" t="s">
        <v>220</v>
      </c>
      <c r="L326" s="4">
        <v>144</v>
      </c>
      <c r="M326" s="4">
        <v>104</v>
      </c>
      <c r="N326" s="5">
        <v>72.22</v>
      </c>
      <c r="O326" s="4">
        <v>144</v>
      </c>
      <c r="P326" s="4">
        <v>0</v>
      </c>
      <c r="Q326" s="5">
        <v>0</v>
      </c>
      <c r="R326" s="2">
        <v>95</v>
      </c>
      <c r="HZ326" s="34"/>
    </row>
    <row r="327" spans="1:234" ht="15" customHeight="1">
      <c r="A327" s="66" t="s">
        <v>216</v>
      </c>
      <c r="B327" s="2">
        <v>2015</v>
      </c>
      <c r="C327" s="16" t="s">
        <v>607</v>
      </c>
      <c r="D327" s="1" t="s">
        <v>406</v>
      </c>
      <c r="E327" s="1" t="s">
        <v>43</v>
      </c>
      <c r="F327" s="1" t="s">
        <v>9</v>
      </c>
      <c r="G327" s="1" t="s">
        <v>217</v>
      </c>
      <c r="H327" s="1" t="s">
        <v>22</v>
      </c>
      <c r="I327" s="1" t="s">
        <v>218</v>
      </c>
      <c r="J327" s="1" t="s">
        <v>16</v>
      </c>
      <c r="K327" s="3" t="s">
        <v>221</v>
      </c>
      <c r="L327" s="4">
        <v>1937</v>
      </c>
      <c r="M327" s="4">
        <v>1644</v>
      </c>
      <c r="N327" s="5">
        <v>84.87</v>
      </c>
      <c r="O327" s="4">
        <v>1937</v>
      </c>
      <c r="P327" s="4">
        <v>9</v>
      </c>
      <c r="Q327" s="5">
        <v>0.46</v>
      </c>
      <c r="R327" s="2">
        <v>95</v>
      </c>
      <c r="HZ327" s="34"/>
    </row>
    <row r="328" spans="1:234" ht="15" customHeight="1">
      <c r="A328" s="66" t="s">
        <v>216</v>
      </c>
      <c r="B328" s="2">
        <v>2015</v>
      </c>
      <c r="C328" s="16" t="s">
        <v>607</v>
      </c>
      <c r="D328" s="1" t="s">
        <v>406</v>
      </c>
      <c r="E328" s="1" t="s">
        <v>43</v>
      </c>
      <c r="F328" s="1" t="s">
        <v>9</v>
      </c>
      <c r="G328" s="1" t="s">
        <v>217</v>
      </c>
      <c r="H328" s="1" t="s">
        <v>22</v>
      </c>
      <c r="I328" s="1" t="s">
        <v>218</v>
      </c>
      <c r="J328" s="1" t="s">
        <v>16</v>
      </c>
      <c r="K328" s="3" t="s">
        <v>222</v>
      </c>
      <c r="L328" s="4">
        <v>2475</v>
      </c>
      <c r="M328" s="4">
        <v>2296</v>
      </c>
      <c r="N328" s="5">
        <v>92.77</v>
      </c>
      <c r="O328" s="4">
        <v>2475</v>
      </c>
      <c r="P328" s="4">
        <v>47</v>
      </c>
      <c r="Q328" s="5">
        <v>1.9</v>
      </c>
      <c r="R328" s="2">
        <v>95</v>
      </c>
      <c r="HZ328" s="34"/>
    </row>
    <row r="329" spans="1:234" ht="15" customHeight="1">
      <c r="A329" s="66" t="s">
        <v>216</v>
      </c>
      <c r="B329" s="2">
        <v>2015</v>
      </c>
      <c r="C329" s="16" t="s">
        <v>607</v>
      </c>
      <c r="D329" s="1" t="s">
        <v>406</v>
      </c>
      <c r="E329" s="1" t="s">
        <v>43</v>
      </c>
      <c r="F329" s="1" t="s">
        <v>9</v>
      </c>
      <c r="G329" s="1" t="s">
        <v>217</v>
      </c>
      <c r="H329" s="1" t="s">
        <v>22</v>
      </c>
      <c r="I329" s="1" t="s">
        <v>218</v>
      </c>
      <c r="J329" s="1" t="s">
        <v>16</v>
      </c>
      <c r="K329" s="3" t="s">
        <v>223</v>
      </c>
      <c r="L329" s="4">
        <v>150</v>
      </c>
      <c r="M329" s="4">
        <v>136</v>
      </c>
      <c r="N329" s="5">
        <v>90.67</v>
      </c>
      <c r="O329" s="4">
        <v>150</v>
      </c>
      <c r="P329" s="4">
        <v>3</v>
      </c>
      <c r="Q329" s="5">
        <v>2</v>
      </c>
      <c r="R329" s="2">
        <v>95</v>
      </c>
      <c r="HZ329" s="34"/>
    </row>
    <row r="330" spans="1:234" ht="15" customHeight="1">
      <c r="A330" s="66" t="s">
        <v>216</v>
      </c>
      <c r="B330" s="2">
        <v>2015</v>
      </c>
      <c r="C330" s="16" t="s">
        <v>607</v>
      </c>
      <c r="D330" s="1" t="s">
        <v>406</v>
      </c>
      <c r="E330" s="1" t="s">
        <v>43</v>
      </c>
      <c r="F330" s="1" t="s">
        <v>9</v>
      </c>
      <c r="G330" s="1" t="s">
        <v>217</v>
      </c>
      <c r="H330" s="1" t="s">
        <v>22</v>
      </c>
      <c r="I330" s="1" t="s">
        <v>218</v>
      </c>
      <c r="J330" s="1" t="s">
        <v>23</v>
      </c>
      <c r="K330" s="80" t="s">
        <v>219</v>
      </c>
      <c r="L330" s="4">
        <v>2828</v>
      </c>
      <c r="M330" s="4">
        <v>2464</v>
      </c>
      <c r="N330" s="5">
        <v>87.13</v>
      </c>
      <c r="O330" s="4">
        <v>2828</v>
      </c>
      <c r="P330" s="4">
        <v>31</v>
      </c>
      <c r="Q330" s="5">
        <v>1.1000000000000001</v>
      </c>
      <c r="R330" s="2">
        <v>95</v>
      </c>
      <c r="HZ330" s="34"/>
    </row>
    <row r="331" spans="1:234" ht="15" customHeight="1">
      <c r="A331" s="66" t="s">
        <v>216</v>
      </c>
      <c r="B331" s="2">
        <v>2015</v>
      </c>
      <c r="C331" s="16" t="s">
        <v>607</v>
      </c>
      <c r="D331" s="1" t="s">
        <v>406</v>
      </c>
      <c r="E331" s="1" t="s">
        <v>43</v>
      </c>
      <c r="F331" s="1" t="s">
        <v>9</v>
      </c>
      <c r="G331" s="1" t="s">
        <v>217</v>
      </c>
      <c r="H331" s="1" t="s">
        <v>22</v>
      </c>
      <c r="I331" s="1" t="s">
        <v>218</v>
      </c>
      <c r="J331" s="1" t="s">
        <v>11</v>
      </c>
      <c r="K331" s="80" t="s">
        <v>219</v>
      </c>
      <c r="L331" s="4">
        <v>2157</v>
      </c>
      <c r="M331" s="4">
        <v>1961</v>
      </c>
      <c r="N331" s="5">
        <v>90.91</v>
      </c>
      <c r="O331" s="4">
        <v>2157</v>
      </c>
      <c r="P331" s="4">
        <v>32</v>
      </c>
      <c r="Q331" s="5">
        <v>1.48</v>
      </c>
      <c r="R331" s="2">
        <v>95</v>
      </c>
      <c r="HZ331" s="34"/>
    </row>
    <row r="332" spans="1:234" ht="15" customHeight="1">
      <c r="A332" s="66" t="s">
        <v>225</v>
      </c>
      <c r="B332" s="2">
        <v>2015</v>
      </c>
      <c r="C332" s="1" t="s">
        <v>13</v>
      </c>
      <c r="D332" s="1" t="s">
        <v>610</v>
      </c>
      <c r="E332" s="1" t="s">
        <v>226</v>
      </c>
      <c r="F332" s="1" t="s">
        <v>227</v>
      </c>
      <c r="G332" s="1" t="s">
        <v>228</v>
      </c>
      <c r="H332" s="1" t="s">
        <v>229</v>
      </c>
      <c r="I332" s="1" t="s">
        <v>199</v>
      </c>
      <c r="J332" s="1" t="s">
        <v>11</v>
      </c>
      <c r="K332" s="3" t="s">
        <v>230</v>
      </c>
      <c r="L332" s="1" t="s">
        <v>10</v>
      </c>
      <c r="M332" s="1" t="s">
        <v>10</v>
      </c>
      <c r="N332" s="5" t="s">
        <v>10</v>
      </c>
      <c r="O332" s="4">
        <v>1658</v>
      </c>
      <c r="P332" s="4">
        <v>789</v>
      </c>
      <c r="Q332" s="5">
        <v>47</v>
      </c>
      <c r="R332" s="2">
        <v>96</v>
      </c>
      <c r="HZ332" s="34"/>
    </row>
    <row r="333" spans="1:234" ht="15" customHeight="1">
      <c r="A333" s="66" t="s">
        <v>225</v>
      </c>
      <c r="B333" s="2">
        <v>2015</v>
      </c>
      <c r="C333" s="1" t="s">
        <v>13</v>
      </c>
      <c r="D333" s="1" t="s">
        <v>610</v>
      </c>
      <c r="E333" s="1" t="s">
        <v>226</v>
      </c>
      <c r="F333" s="1" t="s">
        <v>227</v>
      </c>
      <c r="G333" s="1" t="s">
        <v>228</v>
      </c>
      <c r="H333" s="1" t="s">
        <v>229</v>
      </c>
      <c r="I333" s="1" t="s">
        <v>199</v>
      </c>
      <c r="J333" s="1" t="s">
        <v>11</v>
      </c>
      <c r="K333" s="3" t="s">
        <v>127</v>
      </c>
      <c r="L333" s="1" t="s">
        <v>10</v>
      </c>
      <c r="M333" s="1" t="s">
        <v>10</v>
      </c>
      <c r="N333" s="5" t="s">
        <v>10</v>
      </c>
      <c r="O333" s="4">
        <f>191+319</f>
        <v>510</v>
      </c>
      <c r="P333" s="4">
        <v>191</v>
      </c>
      <c r="Q333" s="5">
        <f>P333*100/O333</f>
        <v>37.450980392156865</v>
      </c>
      <c r="R333" s="2">
        <v>96</v>
      </c>
      <c r="HZ333" s="34"/>
    </row>
    <row r="334" spans="1:234" ht="15" customHeight="1">
      <c r="A334" s="66" t="s">
        <v>225</v>
      </c>
      <c r="B334" s="2">
        <v>2015</v>
      </c>
      <c r="C334" s="1" t="s">
        <v>13</v>
      </c>
      <c r="D334" s="1" t="s">
        <v>610</v>
      </c>
      <c r="E334" s="1" t="s">
        <v>226</v>
      </c>
      <c r="F334" s="1" t="s">
        <v>227</v>
      </c>
      <c r="G334" s="1" t="s">
        <v>228</v>
      </c>
      <c r="H334" s="1" t="s">
        <v>229</v>
      </c>
      <c r="I334" s="1" t="s">
        <v>199</v>
      </c>
      <c r="J334" s="1" t="s">
        <v>11</v>
      </c>
      <c r="K334" s="3" t="s">
        <v>12</v>
      </c>
      <c r="L334" s="1" t="s">
        <v>10</v>
      </c>
      <c r="M334" s="1" t="s">
        <v>10</v>
      </c>
      <c r="N334" s="5" t="s">
        <v>10</v>
      </c>
      <c r="O334" s="4">
        <f>284+286</f>
        <v>570</v>
      </c>
      <c r="P334" s="4">
        <v>284</v>
      </c>
      <c r="Q334" s="5">
        <f>P334*100/O334</f>
        <v>49.824561403508774</v>
      </c>
      <c r="R334" s="2">
        <v>96</v>
      </c>
      <c r="HZ334" s="34"/>
    </row>
    <row r="335" spans="1:234" ht="15" customHeight="1">
      <c r="A335" s="66" t="s">
        <v>225</v>
      </c>
      <c r="B335" s="2">
        <v>2015</v>
      </c>
      <c r="C335" s="1" t="s">
        <v>13</v>
      </c>
      <c r="D335" s="1" t="s">
        <v>610</v>
      </c>
      <c r="E335" s="1" t="s">
        <v>226</v>
      </c>
      <c r="F335" s="1" t="s">
        <v>227</v>
      </c>
      <c r="G335" s="1" t="s">
        <v>228</v>
      </c>
      <c r="H335" s="1" t="s">
        <v>229</v>
      </c>
      <c r="I335" s="1" t="s">
        <v>199</v>
      </c>
      <c r="J335" s="1" t="s">
        <v>11</v>
      </c>
      <c r="K335" s="3" t="s">
        <v>231</v>
      </c>
      <c r="L335" s="1" t="s">
        <v>10</v>
      </c>
      <c r="M335" s="1" t="s">
        <v>10</v>
      </c>
      <c r="N335" s="5" t="s">
        <v>10</v>
      </c>
      <c r="O335" s="4">
        <f>314+264</f>
        <v>578</v>
      </c>
      <c r="P335" s="4">
        <v>314</v>
      </c>
      <c r="Q335" s="5">
        <f>P335*100/O335</f>
        <v>54.325259515570934</v>
      </c>
      <c r="R335" s="2">
        <v>96</v>
      </c>
      <c r="HZ335" s="34"/>
    </row>
    <row r="336" spans="1:234" ht="15" customHeight="1">
      <c r="A336" s="66" t="s">
        <v>232</v>
      </c>
      <c r="B336" s="2">
        <v>2018</v>
      </c>
      <c r="C336" s="1" t="s">
        <v>13</v>
      </c>
      <c r="D336" s="12" t="s">
        <v>402</v>
      </c>
      <c r="E336" s="1" t="s">
        <v>233</v>
      </c>
      <c r="F336" s="1" t="s">
        <v>9</v>
      </c>
      <c r="G336" s="1" t="s">
        <v>215</v>
      </c>
      <c r="H336" s="16" t="s">
        <v>419</v>
      </c>
      <c r="I336" s="1" t="s">
        <v>234</v>
      </c>
      <c r="J336" s="1" t="s">
        <v>11</v>
      </c>
      <c r="K336" s="3" t="s">
        <v>235</v>
      </c>
      <c r="L336" s="4">
        <v>32</v>
      </c>
      <c r="M336" s="4">
        <f>N336*L336/100</f>
        <v>30.015999999999998</v>
      </c>
      <c r="N336" s="5">
        <v>93.8</v>
      </c>
      <c r="O336" s="4">
        <v>32</v>
      </c>
      <c r="P336" s="4">
        <f>Q336*O336/100</f>
        <v>8.9920000000000009</v>
      </c>
      <c r="Q336" s="5">
        <v>28.1</v>
      </c>
      <c r="R336" s="2">
        <v>97</v>
      </c>
      <c r="HZ336" s="34"/>
    </row>
    <row r="337" spans="1:234" ht="15" customHeight="1">
      <c r="A337" s="66" t="s">
        <v>232</v>
      </c>
      <c r="B337" s="2">
        <v>2018</v>
      </c>
      <c r="C337" s="1" t="s">
        <v>13</v>
      </c>
      <c r="D337" s="12" t="s">
        <v>402</v>
      </c>
      <c r="E337" s="1" t="s">
        <v>233</v>
      </c>
      <c r="F337" s="1" t="s">
        <v>9</v>
      </c>
      <c r="G337" s="1" t="s">
        <v>215</v>
      </c>
      <c r="H337" s="1" t="s">
        <v>236</v>
      </c>
      <c r="I337" s="1" t="s">
        <v>234</v>
      </c>
      <c r="J337" s="1" t="s">
        <v>11</v>
      </c>
      <c r="K337" s="3" t="s">
        <v>237</v>
      </c>
      <c r="L337" s="4">
        <v>160</v>
      </c>
      <c r="M337" s="4">
        <f>N337*L337/100</f>
        <v>152</v>
      </c>
      <c r="N337" s="5">
        <v>95</v>
      </c>
      <c r="O337" s="4">
        <v>160</v>
      </c>
      <c r="P337" s="4">
        <f>Q337*O337/100</f>
        <v>75.36</v>
      </c>
      <c r="Q337" s="5">
        <v>47.1</v>
      </c>
      <c r="R337" s="2">
        <v>97</v>
      </c>
      <c r="HZ337" s="34"/>
    </row>
    <row r="338" spans="1:234" s="46" customFormat="1" ht="15" customHeight="1">
      <c r="A338" s="70" t="s">
        <v>238</v>
      </c>
      <c r="B338" s="17">
        <v>2017</v>
      </c>
      <c r="C338" s="18" t="s">
        <v>8</v>
      </c>
      <c r="D338" s="1" t="s">
        <v>410</v>
      </c>
      <c r="E338" s="18" t="s">
        <v>201</v>
      </c>
      <c r="F338" s="18" t="s">
        <v>9</v>
      </c>
      <c r="G338" s="18" t="s">
        <v>239</v>
      </c>
      <c r="H338" s="18" t="s">
        <v>361</v>
      </c>
      <c r="I338" s="18" t="s">
        <v>240</v>
      </c>
      <c r="J338" s="18" t="s">
        <v>23</v>
      </c>
      <c r="K338" s="19" t="s">
        <v>241</v>
      </c>
      <c r="L338" s="20">
        <v>73</v>
      </c>
      <c r="M338" s="20">
        <v>54</v>
      </c>
      <c r="N338" s="21">
        <v>74</v>
      </c>
      <c r="O338" s="18" t="s">
        <v>10</v>
      </c>
      <c r="P338" s="18" t="s">
        <v>10</v>
      </c>
      <c r="Q338" s="21" t="s">
        <v>10</v>
      </c>
      <c r="R338" s="17">
        <v>98</v>
      </c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5"/>
      <c r="CD338" s="45"/>
      <c r="CE338" s="45"/>
      <c r="CF338" s="45"/>
      <c r="CG338" s="45"/>
      <c r="CH338" s="45"/>
      <c r="CI338" s="45"/>
      <c r="CJ338" s="45"/>
      <c r="CK338" s="45"/>
      <c r="CL338" s="45"/>
      <c r="CM338" s="45"/>
      <c r="CN338" s="45"/>
      <c r="CO338" s="45"/>
      <c r="CP338" s="45"/>
      <c r="CQ338" s="45"/>
      <c r="CR338" s="45"/>
      <c r="CS338" s="45"/>
      <c r="CT338" s="45"/>
      <c r="CU338" s="45"/>
      <c r="CV338" s="45"/>
      <c r="CW338" s="45"/>
      <c r="CX338" s="45"/>
      <c r="CY338" s="45"/>
      <c r="CZ338" s="45"/>
      <c r="DA338" s="45"/>
      <c r="DB338" s="45"/>
      <c r="DC338" s="45"/>
      <c r="DD338" s="45"/>
      <c r="DE338" s="45"/>
      <c r="DF338" s="45"/>
      <c r="DG338" s="45"/>
      <c r="DH338" s="45"/>
      <c r="DI338" s="45"/>
      <c r="DJ338" s="45"/>
      <c r="DK338" s="45"/>
      <c r="DL338" s="45"/>
      <c r="DM338" s="45"/>
      <c r="DN338" s="45"/>
      <c r="DO338" s="45"/>
      <c r="DP338" s="45"/>
      <c r="DQ338" s="45"/>
      <c r="DR338" s="45"/>
      <c r="DS338" s="45"/>
      <c r="DT338" s="45"/>
      <c r="DU338" s="45"/>
      <c r="DV338" s="45"/>
      <c r="DW338" s="45"/>
      <c r="DX338" s="45"/>
      <c r="DY338" s="45"/>
      <c r="DZ338" s="45"/>
      <c r="EA338" s="45"/>
      <c r="EB338" s="45"/>
      <c r="EC338" s="45"/>
      <c r="ED338" s="45"/>
      <c r="EE338" s="45"/>
      <c r="EF338" s="45"/>
      <c r="EG338" s="45"/>
      <c r="EH338" s="45"/>
      <c r="EI338" s="45"/>
      <c r="EJ338" s="45"/>
      <c r="EK338" s="45"/>
      <c r="EL338" s="45"/>
      <c r="EM338" s="45"/>
      <c r="EN338" s="45"/>
      <c r="EO338" s="45"/>
      <c r="EP338" s="45"/>
      <c r="EQ338" s="45"/>
      <c r="ER338" s="45"/>
      <c r="ES338" s="45"/>
      <c r="ET338" s="45"/>
      <c r="EU338" s="45"/>
      <c r="EV338" s="45"/>
      <c r="EW338" s="45"/>
      <c r="EX338" s="45"/>
      <c r="EY338" s="45"/>
      <c r="EZ338" s="45"/>
      <c r="FA338" s="45"/>
      <c r="FB338" s="45"/>
      <c r="FC338" s="45"/>
      <c r="FD338" s="45"/>
      <c r="FE338" s="45"/>
      <c r="FF338" s="45"/>
      <c r="FG338" s="45"/>
      <c r="FH338" s="45"/>
      <c r="FI338" s="45"/>
      <c r="FJ338" s="45"/>
      <c r="FK338" s="45"/>
      <c r="FL338" s="45"/>
      <c r="FM338" s="45"/>
      <c r="FN338" s="45"/>
      <c r="FO338" s="45"/>
      <c r="FP338" s="45"/>
      <c r="FQ338" s="45"/>
      <c r="FR338" s="45"/>
      <c r="FS338" s="45"/>
      <c r="FT338" s="45"/>
      <c r="FU338" s="45"/>
      <c r="FV338" s="45"/>
      <c r="FW338" s="45"/>
      <c r="FX338" s="45"/>
      <c r="FY338" s="45"/>
      <c r="FZ338" s="45"/>
      <c r="GA338" s="45"/>
      <c r="GB338" s="45"/>
      <c r="GC338" s="45"/>
      <c r="GD338" s="45"/>
      <c r="GE338" s="45"/>
      <c r="GF338" s="45"/>
      <c r="GG338" s="45"/>
      <c r="GH338" s="45"/>
      <c r="GI338" s="45"/>
      <c r="GJ338" s="45"/>
      <c r="GK338" s="45"/>
      <c r="GL338" s="45"/>
      <c r="GM338" s="45"/>
      <c r="GN338" s="45"/>
      <c r="GO338" s="45"/>
      <c r="GP338" s="45"/>
      <c r="GQ338" s="45"/>
      <c r="GR338" s="45"/>
      <c r="GS338" s="45"/>
      <c r="GT338" s="45"/>
      <c r="GU338" s="45"/>
      <c r="GV338" s="45"/>
      <c r="GW338" s="45"/>
      <c r="GX338" s="45"/>
      <c r="GY338" s="45"/>
      <c r="GZ338" s="45"/>
      <c r="HA338" s="45"/>
      <c r="HB338" s="45"/>
      <c r="HC338" s="45"/>
      <c r="HD338" s="45"/>
      <c r="HE338" s="45"/>
      <c r="HF338" s="45"/>
      <c r="HG338" s="45"/>
      <c r="HH338" s="45"/>
      <c r="HI338" s="45"/>
      <c r="HJ338" s="45"/>
      <c r="HK338" s="45"/>
      <c r="HL338" s="45"/>
      <c r="HM338" s="45"/>
      <c r="HN338" s="45"/>
      <c r="HO338" s="45"/>
      <c r="HP338" s="45"/>
      <c r="HQ338" s="45"/>
      <c r="HR338" s="45"/>
      <c r="HS338" s="45"/>
      <c r="HT338" s="45"/>
      <c r="HU338" s="45"/>
      <c r="HV338" s="45"/>
      <c r="HW338" s="45"/>
      <c r="HX338" s="45"/>
      <c r="HY338" s="45"/>
    </row>
    <row r="339" spans="1:234" ht="15" customHeight="1">
      <c r="A339" s="66" t="s">
        <v>242</v>
      </c>
      <c r="B339" s="2">
        <v>2016</v>
      </c>
      <c r="C339" s="1" t="s">
        <v>13</v>
      </c>
      <c r="D339" s="1" t="s">
        <v>610</v>
      </c>
      <c r="E339" s="1" t="s">
        <v>243</v>
      </c>
      <c r="F339" s="1" t="s">
        <v>244</v>
      </c>
      <c r="G339" s="1" t="s">
        <v>9</v>
      </c>
      <c r="H339" s="1" t="s">
        <v>22</v>
      </c>
      <c r="I339" s="1" t="s">
        <v>245</v>
      </c>
      <c r="J339" s="1" t="s">
        <v>16</v>
      </c>
      <c r="K339" s="3" t="s">
        <v>246</v>
      </c>
      <c r="L339" s="4">
        <v>1459</v>
      </c>
      <c r="M339" s="4">
        <f>L339*N339/100</f>
        <v>1454.6230000000003</v>
      </c>
      <c r="N339" s="5">
        <v>99.7</v>
      </c>
      <c r="O339" s="1" t="s">
        <v>10</v>
      </c>
      <c r="P339" s="1" t="s">
        <v>10</v>
      </c>
      <c r="Q339" s="5" t="s">
        <v>10</v>
      </c>
      <c r="R339" s="2">
        <v>99</v>
      </c>
      <c r="HZ339" s="34"/>
    </row>
    <row r="340" spans="1:234" ht="15" customHeight="1">
      <c r="A340" s="66" t="s">
        <v>247</v>
      </c>
      <c r="B340" s="2">
        <v>2015</v>
      </c>
      <c r="C340" s="16" t="s">
        <v>605</v>
      </c>
      <c r="D340" s="1" t="s">
        <v>15</v>
      </c>
      <c r="E340" s="1" t="s">
        <v>248</v>
      </c>
      <c r="F340" s="1" t="s">
        <v>9</v>
      </c>
      <c r="G340" s="1" t="s">
        <v>217</v>
      </c>
      <c r="H340" s="16" t="s">
        <v>615</v>
      </c>
      <c r="I340" s="1" t="s">
        <v>249</v>
      </c>
      <c r="J340" s="1" t="s">
        <v>16</v>
      </c>
      <c r="K340" s="3" t="s">
        <v>250</v>
      </c>
      <c r="L340" s="4">
        <v>45</v>
      </c>
      <c r="M340" s="4">
        <v>40</v>
      </c>
      <c r="N340" s="5">
        <v>88.8</v>
      </c>
      <c r="O340" s="4">
        <v>45</v>
      </c>
      <c r="P340" s="4">
        <f t="shared" ref="P340:P346" si="25">Q340*O340/100</f>
        <v>8.01</v>
      </c>
      <c r="Q340" s="5">
        <v>17.8</v>
      </c>
      <c r="R340" s="2">
        <v>100</v>
      </c>
      <c r="HZ340" s="34"/>
    </row>
    <row r="341" spans="1:234" ht="15" customHeight="1">
      <c r="A341" s="66" t="s">
        <v>247</v>
      </c>
      <c r="B341" s="2">
        <v>2015</v>
      </c>
      <c r="C341" s="16" t="s">
        <v>605</v>
      </c>
      <c r="D341" s="1" t="s">
        <v>15</v>
      </c>
      <c r="E341" s="1" t="s">
        <v>248</v>
      </c>
      <c r="F341" s="1" t="s">
        <v>9</v>
      </c>
      <c r="G341" s="1" t="s">
        <v>217</v>
      </c>
      <c r="H341" s="16" t="s">
        <v>615</v>
      </c>
      <c r="I341" s="1" t="s">
        <v>249</v>
      </c>
      <c r="J341" s="1" t="s">
        <v>16</v>
      </c>
      <c r="K341" s="3" t="s">
        <v>251</v>
      </c>
      <c r="L341" s="4">
        <v>9</v>
      </c>
      <c r="M341" s="4">
        <f t="shared" ref="M341:M346" si="26">N341*L341/100</f>
        <v>9</v>
      </c>
      <c r="N341" s="5">
        <v>100</v>
      </c>
      <c r="O341" s="4">
        <v>9</v>
      </c>
      <c r="P341" s="4">
        <f t="shared" si="25"/>
        <v>0.99899999999999989</v>
      </c>
      <c r="Q341" s="5">
        <v>11.1</v>
      </c>
      <c r="R341" s="2">
        <v>100</v>
      </c>
      <c r="HZ341" s="34"/>
    </row>
    <row r="342" spans="1:234" ht="15" customHeight="1">
      <c r="A342" s="66" t="s">
        <v>247</v>
      </c>
      <c r="B342" s="2">
        <v>2015</v>
      </c>
      <c r="C342" s="16" t="s">
        <v>605</v>
      </c>
      <c r="D342" s="1" t="s">
        <v>15</v>
      </c>
      <c r="E342" s="1" t="s">
        <v>248</v>
      </c>
      <c r="F342" s="1" t="s">
        <v>9</v>
      </c>
      <c r="G342" s="1" t="s">
        <v>217</v>
      </c>
      <c r="H342" s="16" t="s">
        <v>615</v>
      </c>
      <c r="I342" s="1" t="s">
        <v>249</v>
      </c>
      <c r="J342" s="1" t="s">
        <v>16</v>
      </c>
      <c r="K342" s="3" t="s">
        <v>252</v>
      </c>
      <c r="L342" s="4">
        <v>8</v>
      </c>
      <c r="M342" s="4">
        <f t="shared" si="26"/>
        <v>7</v>
      </c>
      <c r="N342" s="5">
        <v>87.5</v>
      </c>
      <c r="O342" s="4">
        <v>8</v>
      </c>
      <c r="P342" s="4">
        <f t="shared" si="25"/>
        <v>1</v>
      </c>
      <c r="Q342" s="5">
        <v>12.5</v>
      </c>
      <c r="R342" s="2">
        <v>100</v>
      </c>
      <c r="HZ342" s="34"/>
    </row>
    <row r="343" spans="1:234" ht="15" customHeight="1">
      <c r="A343" s="66" t="s">
        <v>247</v>
      </c>
      <c r="B343" s="2">
        <v>2015</v>
      </c>
      <c r="C343" s="16" t="s">
        <v>605</v>
      </c>
      <c r="D343" s="1" t="s">
        <v>15</v>
      </c>
      <c r="E343" s="1" t="s">
        <v>248</v>
      </c>
      <c r="F343" s="1" t="s">
        <v>9</v>
      </c>
      <c r="G343" s="1" t="s">
        <v>217</v>
      </c>
      <c r="H343" s="16" t="s">
        <v>615</v>
      </c>
      <c r="I343" s="1" t="s">
        <v>249</v>
      </c>
      <c r="J343" s="1" t="s">
        <v>16</v>
      </c>
      <c r="K343" s="3" t="s">
        <v>253</v>
      </c>
      <c r="L343" s="4">
        <v>21</v>
      </c>
      <c r="M343" s="4">
        <f t="shared" si="26"/>
        <v>17.997</v>
      </c>
      <c r="N343" s="5">
        <v>85.7</v>
      </c>
      <c r="O343" s="4">
        <v>21</v>
      </c>
      <c r="P343" s="4">
        <f t="shared" si="25"/>
        <v>4.9980000000000002</v>
      </c>
      <c r="Q343" s="5">
        <v>23.8</v>
      </c>
      <c r="R343" s="2">
        <v>100</v>
      </c>
      <c r="HZ343" s="34"/>
    </row>
    <row r="344" spans="1:234" ht="15" customHeight="1">
      <c r="A344" s="66" t="s">
        <v>247</v>
      </c>
      <c r="B344" s="2">
        <v>2015</v>
      </c>
      <c r="C344" s="16" t="s">
        <v>605</v>
      </c>
      <c r="D344" s="1" t="s">
        <v>15</v>
      </c>
      <c r="E344" s="1" t="s">
        <v>248</v>
      </c>
      <c r="F344" s="1" t="s">
        <v>9</v>
      </c>
      <c r="G344" s="1" t="s">
        <v>217</v>
      </c>
      <c r="H344" s="16" t="s">
        <v>615</v>
      </c>
      <c r="I344" s="1" t="s">
        <v>249</v>
      </c>
      <c r="J344" s="1" t="s">
        <v>16</v>
      </c>
      <c r="K344" s="3" t="s">
        <v>254</v>
      </c>
      <c r="L344" s="4">
        <v>7</v>
      </c>
      <c r="M344" s="4">
        <f t="shared" si="26"/>
        <v>5.9989999999999997</v>
      </c>
      <c r="N344" s="5">
        <v>85.7</v>
      </c>
      <c r="O344" s="4">
        <v>7</v>
      </c>
      <c r="P344" s="4">
        <f t="shared" si="25"/>
        <v>1.0010000000000001</v>
      </c>
      <c r="Q344" s="5">
        <v>14.3</v>
      </c>
      <c r="R344" s="2">
        <v>100</v>
      </c>
      <c r="HZ344" s="34"/>
    </row>
    <row r="345" spans="1:234" ht="15" customHeight="1">
      <c r="A345" s="66" t="s">
        <v>247</v>
      </c>
      <c r="B345" s="2">
        <v>2015</v>
      </c>
      <c r="C345" s="16" t="s">
        <v>605</v>
      </c>
      <c r="D345" s="1" t="s">
        <v>15</v>
      </c>
      <c r="E345" s="1" t="s">
        <v>248</v>
      </c>
      <c r="F345" s="1" t="s">
        <v>9</v>
      </c>
      <c r="G345" s="1" t="s">
        <v>217</v>
      </c>
      <c r="H345" s="16" t="s">
        <v>615</v>
      </c>
      <c r="I345" s="1" t="s">
        <v>249</v>
      </c>
      <c r="J345" s="1" t="s">
        <v>23</v>
      </c>
      <c r="K345" s="3" t="s">
        <v>250</v>
      </c>
      <c r="L345" s="4">
        <v>25</v>
      </c>
      <c r="M345" s="4">
        <f t="shared" si="26"/>
        <v>23</v>
      </c>
      <c r="N345" s="5">
        <v>92</v>
      </c>
      <c r="O345" s="4">
        <v>25</v>
      </c>
      <c r="P345" s="4">
        <f t="shared" si="25"/>
        <v>5</v>
      </c>
      <c r="Q345" s="5">
        <v>20</v>
      </c>
      <c r="R345" s="2">
        <v>100</v>
      </c>
      <c r="HZ345" s="34"/>
    </row>
    <row r="346" spans="1:234" ht="15" customHeight="1">
      <c r="A346" s="66" t="s">
        <v>247</v>
      </c>
      <c r="B346" s="2">
        <v>2015</v>
      </c>
      <c r="C346" s="16" t="s">
        <v>605</v>
      </c>
      <c r="D346" s="1" t="s">
        <v>15</v>
      </c>
      <c r="E346" s="1" t="s">
        <v>248</v>
      </c>
      <c r="F346" s="1" t="s">
        <v>9</v>
      </c>
      <c r="G346" s="1" t="s">
        <v>217</v>
      </c>
      <c r="H346" s="16" t="s">
        <v>615</v>
      </c>
      <c r="I346" s="1" t="s">
        <v>249</v>
      </c>
      <c r="J346" s="1" t="s">
        <v>11</v>
      </c>
      <c r="K346" s="3" t="s">
        <v>250</v>
      </c>
      <c r="L346" s="4">
        <v>20</v>
      </c>
      <c r="M346" s="4">
        <f t="shared" si="26"/>
        <v>17</v>
      </c>
      <c r="N346" s="5">
        <v>85</v>
      </c>
      <c r="O346" s="4">
        <v>20</v>
      </c>
      <c r="P346" s="4">
        <f t="shared" si="25"/>
        <v>3</v>
      </c>
      <c r="Q346" s="5">
        <v>15</v>
      </c>
      <c r="R346" s="2">
        <v>100</v>
      </c>
      <c r="HZ346" s="34"/>
    </row>
    <row r="347" spans="1:234" ht="15" customHeight="1">
      <c r="A347" s="66" t="s">
        <v>255</v>
      </c>
      <c r="B347" s="2">
        <v>2017</v>
      </c>
      <c r="C347" s="16" t="s">
        <v>607</v>
      </c>
      <c r="D347" s="1" t="s">
        <v>415</v>
      </c>
      <c r="E347" s="1" t="s">
        <v>43</v>
      </c>
      <c r="F347" s="1" t="s">
        <v>9</v>
      </c>
      <c r="G347" s="1" t="s">
        <v>68</v>
      </c>
      <c r="H347" s="1" t="s">
        <v>256</v>
      </c>
      <c r="I347" s="1" t="s">
        <v>257</v>
      </c>
      <c r="J347" s="1" t="s">
        <v>23</v>
      </c>
      <c r="K347" s="25" t="s">
        <v>621</v>
      </c>
      <c r="L347" s="4">
        <v>2076</v>
      </c>
      <c r="M347" s="4">
        <v>1796</v>
      </c>
      <c r="N347" s="5">
        <f t="shared" ref="N347:N355" si="27">M347*100/L347</f>
        <v>86.51252408477842</v>
      </c>
      <c r="O347" s="1" t="s">
        <v>10</v>
      </c>
      <c r="P347" s="1" t="s">
        <v>10</v>
      </c>
      <c r="Q347" s="5" t="s">
        <v>10</v>
      </c>
      <c r="R347" s="2">
        <v>101</v>
      </c>
      <c r="HZ347" s="34"/>
    </row>
    <row r="348" spans="1:234" ht="15" customHeight="1">
      <c r="A348" s="66" t="s">
        <v>255</v>
      </c>
      <c r="B348" s="2">
        <v>2017</v>
      </c>
      <c r="C348" s="16" t="s">
        <v>607</v>
      </c>
      <c r="D348" s="1" t="s">
        <v>415</v>
      </c>
      <c r="E348" s="1" t="s">
        <v>43</v>
      </c>
      <c r="F348" s="1" t="s">
        <v>9</v>
      </c>
      <c r="G348" s="1" t="s">
        <v>68</v>
      </c>
      <c r="H348" s="1" t="s">
        <v>256</v>
      </c>
      <c r="I348" s="1" t="s">
        <v>257</v>
      </c>
      <c r="J348" s="1" t="s">
        <v>23</v>
      </c>
      <c r="K348" s="3" t="s">
        <v>258</v>
      </c>
      <c r="L348" s="4">
        <v>150</v>
      </c>
      <c r="M348" s="4">
        <f>46+35+35</f>
        <v>116</v>
      </c>
      <c r="N348" s="5">
        <f t="shared" si="27"/>
        <v>77.333333333333329</v>
      </c>
      <c r="O348" s="1" t="s">
        <v>10</v>
      </c>
      <c r="P348" s="1" t="s">
        <v>10</v>
      </c>
      <c r="Q348" s="5" t="s">
        <v>10</v>
      </c>
      <c r="R348" s="2">
        <v>101</v>
      </c>
      <c r="HZ348" s="34"/>
    </row>
    <row r="349" spans="1:234" ht="15" customHeight="1">
      <c r="A349" s="66" t="s">
        <v>255</v>
      </c>
      <c r="B349" s="2">
        <v>2017</v>
      </c>
      <c r="C349" s="16" t="s">
        <v>607</v>
      </c>
      <c r="D349" s="1" t="s">
        <v>415</v>
      </c>
      <c r="E349" s="1" t="s">
        <v>43</v>
      </c>
      <c r="F349" s="1" t="s">
        <v>9</v>
      </c>
      <c r="G349" s="1" t="s">
        <v>68</v>
      </c>
      <c r="H349" s="1" t="s">
        <v>256</v>
      </c>
      <c r="I349" s="1" t="s">
        <v>257</v>
      </c>
      <c r="J349" s="1" t="s">
        <v>23</v>
      </c>
      <c r="K349" s="3" t="s">
        <v>26</v>
      </c>
      <c r="L349" s="4">
        <v>150</v>
      </c>
      <c r="M349" s="4">
        <f>50+36+31</f>
        <v>117</v>
      </c>
      <c r="N349" s="5">
        <f t="shared" si="27"/>
        <v>78</v>
      </c>
      <c r="O349" s="1" t="s">
        <v>10</v>
      </c>
      <c r="P349" s="1" t="s">
        <v>10</v>
      </c>
      <c r="Q349" s="5" t="s">
        <v>10</v>
      </c>
      <c r="R349" s="2">
        <v>101</v>
      </c>
      <c r="HZ349" s="34"/>
    </row>
    <row r="350" spans="1:234" ht="15" customHeight="1">
      <c r="A350" s="66" t="s">
        <v>255</v>
      </c>
      <c r="B350" s="2">
        <v>2017</v>
      </c>
      <c r="C350" s="16" t="s">
        <v>607</v>
      </c>
      <c r="D350" s="1" t="s">
        <v>415</v>
      </c>
      <c r="E350" s="1" t="s">
        <v>43</v>
      </c>
      <c r="F350" s="1" t="s">
        <v>9</v>
      </c>
      <c r="G350" s="1" t="s">
        <v>68</v>
      </c>
      <c r="H350" s="1" t="s">
        <v>256</v>
      </c>
      <c r="I350" s="1" t="s">
        <v>257</v>
      </c>
      <c r="J350" s="1" t="s">
        <v>23</v>
      </c>
      <c r="K350" s="3" t="s">
        <v>27</v>
      </c>
      <c r="L350" s="4">
        <v>150</v>
      </c>
      <c r="M350" s="4">
        <f>49+41+40</f>
        <v>130</v>
      </c>
      <c r="N350" s="5">
        <f t="shared" si="27"/>
        <v>86.666666666666671</v>
      </c>
      <c r="O350" s="1" t="s">
        <v>10</v>
      </c>
      <c r="P350" s="1" t="s">
        <v>10</v>
      </c>
      <c r="Q350" s="5" t="s">
        <v>10</v>
      </c>
      <c r="R350" s="2">
        <v>101</v>
      </c>
      <c r="HZ350" s="34"/>
    </row>
    <row r="351" spans="1:234" ht="15" customHeight="1">
      <c r="A351" s="66" t="s">
        <v>255</v>
      </c>
      <c r="B351" s="2">
        <v>2017</v>
      </c>
      <c r="C351" s="16" t="s">
        <v>607</v>
      </c>
      <c r="D351" s="1" t="s">
        <v>415</v>
      </c>
      <c r="E351" s="1" t="s">
        <v>43</v>
      </c>
      <c r="F351" s="1" t="s">
        <v>9</v>
      </c>
      <c r="G351" s="1" t="s">
        <v>68</v>
      </c>
      <c r="H351" s="1" t="s">
        <v>256</v>
      </c>
      <c r="I351" s="1" t="s">
        <v>257</v>
      </c>
      <c r="J351" s="1" t="s">
        <v>23</v>
      </c>
      <c r="K351" s="3" t="s">
        <v>28</v>
      </c>
      <c r="L351" s="4">
        <v>150</v>
      </c>
      <c r="M351" s="4">
        <f>49+42+41</f>
        <v>132</v>
      </c>
      <c r="N351" s="5">
        <f t="shared" si="27"/>
        <v>88</v>
      </c>
      <c r="O351" s="1" t="s">
        <v>10</v>
      </c>
      <c r="P351" s="1" t="s">
        <v>10</v>
      </c>
      <c r="Q351" s="5" t="s">
        <v>10</v>
      </c>
      <c r="R351" s="2">
        <v>101</v>
      </c>
      <c r="HZ351" s="34"/>
    </row>
    <row r="352" spans="1:234" ht="15" customHeight="1">
      <c r="A352" s="66" t="s">
        <v>255</v>
      </c>
      <c r="B352" s="2">
        <v>2017</v>
      </c>
      <c r="C352" s="16" t="s">
        <v>607</v>
      </c>
      <c r="D352" s="1" t="s">
        <v>415</v>
      </c>
      <c r="E352" s="1" t="s">
        <v>43</v>
      </c>
      <c r="F352" s="1" t="s">
        <v>9</v>
      </c>
      <c r="G352" s="1" t="s">
        <v>68</v>
      </c>
      <c r="H352" s="1" t="s">
        <v>256</v>
      </c>
      <c r="I352" s="1" t="s">
        <v>257</v>
      </c>
      <c r="J352" s="1" t="s">
        <v>23</v>
      </c>
      <c r="K352" s="3" t="s">
        <v>72</v>
      </c>
      <c r="L352" s="4">
        <v>150</v>
      </c>
      <c r="M352" s="4">
        <f>49+42+42</f>
        <v>133</v>
      </c>
      <c r="N352" s="5">
        <f t="shared" si="27"/>
        <v>88.666666666666671</v>
      </c>
      <c r="O352" s="1" t="s">
        <v>10</v>
      </c>
      <c r="P352" s="1" t="s">
        <v>10</v>
      </c>
      <c r="Q352" s="5" t="s">
        <v>10</v>
      </c>
      <c r="R352" s="2">
        <v>101</v>
      </c>
      <c r="HZ352" s="34"/>
    </row>
    <row r="353" spans="1:234" ht="15" customHeight="1">
      <c r="A353" s="66" t="s">
        <v>255</v>
      </c>
      <c r="B353" s="2">
        <v>2017</v>
      </c>
      <c r="C353" s="16" t="s">
        <v>607</v>
      </c>
      <c r="D353" s="1" t="s">
        <v>415</v>
      </c>
      <c r="E353" s="1" t="s">
        <v>43</v>
      </c>
      <c r="F353" s="1" t="s">
        <v>9</v>
      </c>
      <c r="G353" s="1" t="s">
        <v>68</v>
      </c>
      <c r="H353" s="1" t="s">
        <v>256</v>
      </c>
      <c r="I353" s="1" t="s">
        <v>257</v>
      </c>
      <c r="J353" s="1" t="s">
        <v>23</v>
      </c>
      <c r="K353" s="3" t="s">
        <v>73</v>
      </c>
      <c r="L353" s="4">
        <v>150</v>
      </c>
      <c r="M353" s="4">
        <f>50+47+48</f>
        <v>145</v>
      </c>
      <c r="N353" s="5">
        <f t="shared" si="27"/>
        <v>96.666666666666671</v>
      </c>
      <c r="O353" s="1" t="s">
        <v>10</v>
      </c>
      <c r="P353" s="1" t="s">
        <v>10</v>
      </c>
      <c r="Q353" s="5" t="s">
        <v>10</v>
      </c>
      <c r="R353" s="2">
        <v>101</v>
      </c>
      <c r="HZ353" s="34"/>
    </row>
    <row r="354" spans="1:234" ht="15" customHeight="1">
      <c r="A354" s="66" t="s">
        <v>255</v>
      </c>
      <c r="B354" s="2">
        <v>2017</v>
      </c>
      <c r="C354" s="16" t="s">
        <v>607</v>
      </c>
      <c r="D354" s="1" t="s">
        <v>415</v>
      </c>
      <c r="E354" s="1" t="s">
        <v>43</v>
      </c>
      <c r="F354" s="1" t="s">
        <v>9</v>
      </c>
      <c r="G354" s="1" t="s">
        <v>68</v>
      </c>
      <c r="H354" s="1" t="s">
        <v>256</v>
      </c>
      <c r="I354" s="1" t="s">
        <v>257</v>
      </c>
      <c r="J354" s="1" t="s">
        <v>23</v>
      </c>
      <c r="K354" s="3" t="s">
        <v>74</v>
      </c>
      <c r="L354" s="4">
        <f>139</f>
        <v>139</v>
      </c>
      <c r="M354" s="4">
        <f>37+49+46</f>
        <v>132</v>
      </c>
      <c r="N354" s="5">
        <f t="shared" si="27"/>
        <v>94.964028776978424</v>
      </c>
      <c r="O354" s="1" t="s">
        <v>10</v>
      </c>
      <c r="P354" s="1" t="s">
        <v>10</v>
      </c>
      <c r="Q354" s="5" t="s">
        <v>10</v>
      </c>
      <c r="R354" s="2">
        <v>101</v>
      </c>
      <c r="HZ354" s="34"/>
    </row>
    <row r="355" spans="1:234" ht="15" customHeight="1">
      <c r="A355" s="66" t="s">
        <v>255</v>
      </c>
      <c r="B355" s="2">
        <v>2017</v>
      </c>
      <c r="C355" s="16" t="s">
        <v>607</v>
      </c>
      <c r="D355" s="1" t="s">
        <v>415</v>
      </c>
      <c r="E355" s="1" t="s">
        <v>43</v>
      </c>
      <c r="F355" s="1" t="s">
        <v>9</v>
      </c>
      <c r="G355" s="1" t="s">
        <v>68</v>
      </c>
      <c r="H355" s="1" t="s">
        <v>256</v>
      </c>
      <c r="I355" s="1" t="s">
        <v>257</v>
      </c>
      <c r="J355" s="1" t="s">
        <v>23</v>
      </c>
      <c r="K355" s="3" t="s">
        <v>75</v>
      </c>
      <c r="L355" s="4">
        <v>119</v>
      </c>
      <c r="M355" s="4">
        <f>19+49+46</f>
        <v>114</v>
      </c>
      <c r="N355" s="5">
        <f t="shared" si="27"/>
        <v>95.798319327731093</v>
      </c>
      <c r="O355" s="1" t="s">
        <v>10</v>
      </c>
      <c r="P355" s="1" t="s">
        <v>10</v>
      </c>
      <c r="Q355" s="5" t="s">
        <v>10</v>
      </c>
      <c r="R355" s="2">
        <v>101</v>
      </c>
      <c r="HZ355" s="34"/>
    </row>
    <row r="356" spans="1:234" ht="15" customHeight="1">
      <c r="A356" s="66" t="s">
        <v>259</v>
      </c>
      <c r="B356" s="2">
        <v>2016</v>
      </c>
      <c r="C356" s="1" t="s">
        <v>13</v>
      </c>
      <c r="D356" s="1" t="s">
        <v>610</v>
      </c>
      <c r="E356" s="1" t="s">
        <v>260</v>
      </c>
      <c r="F356" s="1" t="s">
        <v>261</v>
      </c>
      <c r="G356" s="1" t="s">
        <v>9</v>
      </c>
      <c r="H356" s="1" t="s">
        <v>262</v>
      </c>
      <c r="I356" s="1" t="s">
        <v>263</v>
      </c>
      <c r="J356" s="1" t="s">
        <v>16</v>
      </c>
      <c r="K356" s="3" t="s">
        <v>264</v>
      </c>
      <c r="L356" s="4">
        <v>1022</v>
      </c>
      <c r="M356" s="4">
        <v>795</v>
      </c>
      <c r="N356" s="5">
        <v>77.7</v>
      </c>
      <c r="O356" s="4">
        <v>1022</v>
      </c>
      <c r="P356" s="4">
        <v>107</v>
      </c>
      <c r="Q356" s="5">
        <v>10.4</v>
      </c>
      <c r="R356" s="2">
        <v>102</v>
      </c>
      <c r="HZ356" s="34"/>
    </row>
    <row r="357" spans="1:234" ht="15" customHeight="1">
      <c r="A357" s="66" t="s">
        <v>259</v>
      </c>
      <c r="B357" s="2">
        <v>2016</v>
      </c>
      <c r="C357" s="1" t="s">
        <v>13</v>
      </c>
      <c r="D357" s="1" t="s">
        <v>610</v>
      </c>
      <c r="E357" s="1" t="s">
        <v>260</v>
      </c>
      <c r="F357" s="1" t="s">
        <v>261</v>
      </c>
      <c r="G357" s="1" t="s">
        <v>9</v>
      </c>
      <c r="H357" s="1" t="s">
        <v>262</v>
      </c>
      <c r="I357" s="1" t="s">
        <v>263</v>
      </c>
      <c r="J357" s="1" t="s">
        <v>23</v>
      </c>
      <c r="K357" s="3" t="s">
        <v>264</v>
      </c>
      <c r="L357" s="4">
        <f>L356-L358</f>
        <v>411</v>
      </c>
      <c r="M357" s="4">
        <f>M356-M358</f>
        <v>308</v>
      </c>
      <c r="N357" s="5">
        <f>M357*100/L357</f>
        <v>74.93917274939173</v>
      </c>
      <c r="O357" s="4">
        <v>411</v>
      </c>
      <c r="P357" s="4">
        <f>107-74</f>
        <v>33</v>
      </c>
      <c r="Q357" s="5">
        <f>P357*100/O357</f>
        <v>8.0291970802919703</v>
      </c>
      <c r="R357" s="2">
        <v>102</v>
      </c>
      <c r="HZ357" s="34"/>
    </row>
    <row r="358" spans="1:234" ht="15" customHeight="1">
      <c r="A358" s="66" t="s">
        <v>259</v>
      </c>
      <c r="B358" s="2">
        <v>2016</v>
      </c>
      <c r="C358" s="1" t="s">
        <v>13</v>
      </c>
      <c r="D358" s="1" t="s">
        <v>610</v>
      </c>
      <c r="E358" s="1" t="s">
        <v>260</v>
      </c>
      <c r="F358" s="1" t="s">
        <v>261</v>
      </c>
      <c r="G358" s="1" t="s">
        <v>9</v>
      </c>
      <c r="H358" s="1" t="s">
        <v>262</v>
      </c>
      <c r="I358" s="1" t="s">
        <v>263</v>
      </c>
      <c r="J358" s="1" t="s">
        <v>11</v>
      </c>
      <c r="K358" s="3" t="s">
        <v>264</v>
      </c>
      <c r="L358" s="4">
        <f>M358+124</f>
        <v>611</v>
      </c>
      <c r="M358" s="4">
        <v>487</v>
      </c>
      <c r="N358" s="5">
        <f>M358*100/L358</f>
        <v>79.705400981996732</v>
      </c>
      <c r="O358" s="4">
        <v>611</v>
      </c>
      <c r="P358" s="4">
        <v>74</v>
      </c>
      <c r="Q358" s="5">
        <f>P358*100/O358</f>
        <v>12.111292962356792</v>
      </c>
      <c r="R358" s="2">
        <v>102</v>
      </c>
      <c r="HZ358" s="34"/>
    </row>
    <row r="359" spans="1:234" ht="15" customHeight="1">
      <c r="A359" s="66" t="s">
        <v>265</v>
      </c>
      <c r="B359" s="2">
        <v>2018</v>
      </c>
      <c r="C359" s="1" t="s">
        <v>13</v>
      </c>
      <c r="D359" s="1" t="s">
        <v>610</v>
      </c>
      <c r="E359" s="1" t="s">
        <v>266</v>
      </c>
      <c r="F359" s="1" t="s">
        <v>267</v>
      </c>
      <c r="G359" s="1" t="s">
        <v>9</v>
      </c>
      <c r="H359" s="1" t="s">
        <v>268</v>
      </c>
      <c r="I359" s="1" t="s">
        <v>269</v>
      </c>
      <c r="J359" s="1" t="s">
        <v>11</v>
      </c>
      <c r="K359" s="3" t="s">
        <v>270</v>
      </c>
      <c r="L359" s="1" t="s">
        <v>10</v>
      </c>
      <c r="M359" s="1" t="s">
        <v>10</v>
      </c>
      <c r="N359" s="5" t="s">
        <v>10</v>
      </c>
      <c r="O359" s="4">
        <v>111</v>
      </c>
      <c r="P359" s="4">
        <v>63</v>
      </c>
      <c r="Q359" s="5">
        <f>P359*100/O359</f>
        <v>56.756756756756758</v>
      </c>
      <c r="R359" s="2">
        <v>103</v>
      </c>
      <c r="HZ359" s="34"/>
    </row>
    <row r="360" spans="1:234" ht="15" customHeight="1">
      <c r="A360" s="66" t="s">
        <v>271</v>
      </c>
      <c r="B360" s="2">
        <v>2017</v>
      </c>
      <c r="C360" s="1" t="s">
        <v>8</v>
      </c>
      <c r="D360" s="1" t="s">
        <v>407</v>
      </c>
      <c r="E360" s="1" t="s">
        <v>272</v>
      </c>
      <c r="F360" s="1" t="s">
        <v>273</v>
      </c>
      <c r="G360" s="1" t="s">
        <v>118</v>
      </c>
      <c r="H360" s="1" t="s">
        <v>22</v>
      </c>
      <c r="I360" s="1" t="s">
        <v>274</v>
      </c>
      <c r="J360" s="1" t="s">
        <v>16</v>
      </c>
      <c r="K360" s="3" t="s">
        <v>275</v>
      </c>
      <c r="L360" s="4">
        <v>535</v>
      </c>
      <c r="M360" s="4">
        <v>425</v>
      </c>
      <c r="N360" s="5">
        <v>79.400000000000006</v>
      </c>
      <c r="O360" s="4">
        <v>535</v>
      </c>
      <c r="P360" s="4">
        <v>69</v>
      </c>
      <c r="Q360" s="5">
        <v>12.9</v>
      </c>
      <c r="R360" s="2">
        <v>104</v>
      </c>
      <c r="HZ360" s="34"/>
    </row>
    <row r="361" spans="1:234" ht="15" customHeight="1">
      <c r="A361" s="66" t="s">
        <v>271</v>
      </c>
      <c r="B361" s="2">
        <v>2017</v>
      </c>
      <c r="C361" s="1" t="s">
        <v>8</v>
      </c>
      <c r="D361" s="1" t="s">
        <v>407</v>
      </c>
      <c r="E361" s="1" t="s">
        <v>272</v>
      </c>
      <c r="F361" s="1" t="s">
        <v>273</v>
      </c>
      <c r="G361" s="1" t="s">
        <v>118</v>
      </c>
      <c r="H361" s="1" t="s">
        <v>22</v>
      </c>
      <c r="I361" s="1" t="s">
        <v>274</v>
      </c>
      <c r="J361" s="1" t="s">
        <v>23</v>
      </c>
      <c r="K361" s="3" t="s">
        <v>275</v>
      </c>
      <c r="L361" s="4">
        <v>261</v>
      </c>
      <c r="M361" s="4">
        <v>207</v>
      </c>
      <c r="N361" s="5">
        <v>79.3</v>
      </c>
      <c r="O361" s="4">
        <v>261</v>
      </c>
      <c r="P361" s="4">
        <v>24</v>
      </c>
      <c r="Q361" s="5">
        <v>9.1999999999999993</v>
      </c>
      <c r="R361" s="2">
        <v>104</v>
      </c>
      <c r="HZ361" s="34"/>
    </row>
    <row r="362" spans="1:234" ht="15" customHeight="1">
      <c r="A362" s="66" t="s">
        <v>271</v>
      </c>
      <c r="B362" s="2">
        <v>2017</v>
      </c>
      <c r="C362" s="1" t="s">
        <v>8</v>
      </c>
      <c r="D362" s="1" t="s">
        <v>407</v>
      </c>
      <c r="E362" s="1" t="s">
        <v>272</v>
      </c>
      <c r="F362" s="1" t="s">
        <v>273</v>
      </c>
      <c r="G362" s="1" t="s">
        <v>118</v>
      </c>
      <c r="H362" s="1" t="s">
        <v>22</v>
      </c>
      <c r="I362" s="1" t="s">
        <v>274</v>
      </c>
      <c r="J362" s="1" t="s">
        <v>11</v>
      </c>
      <c r="K362" s="3" t="s">
        <v>275</v>
      </c>
      <c r="L362" s="4">
        <v>274</v>
      </c>
      <c r="M362" s="4">
        <v>218</v>
      </c>
      <c r="N362" s="5">
        <v>79.599999999999994</v>
      </c>
      <c r="O362" s="4">
        <v>274</v>
      </c>
      <c r="P362" s="4">
        <v>45</v>
      </c>
      <c r="Q362" s="5">
        <v>16.399999999999999</v>
      </c>
      <c r="R362" s="2">
        <v>104</v>
      </c>
      <c r="HZ362" s="34"/>
    </row>
    <row r="363" spans="1:234" ht="15" customHeight="1">
      <c r="A363" s="66" t="s">
        <v>276</v>
      </c>
      <c r="B363" s="2">
        <v>2014</v>
      </c>
      <c r="C363" s="1" t="s">
        <v>13</v>
      </c>
      <c r="D363" s="1" t="s">
        <v>610</v>
      </c>
      <c r="E363" s="1" t="s">
        <v>277</v>
      </c>
      <c r="F363" s="1" t="s">
        <v>9</v>
      </c>
      <c r="G363" s="2">
        <v>2007</v>
      </c>
      <c r="H363" s="1" t="s">
        <v>278</v>
      </c>
      <c r="I363" s="1" t="s">
        <v>89</v>
      </c>
      <c r="J363" s="1" t="s">
        <v>16</v>
      </c>
      <c r="K363" s="3" t="s">
        <v>279</v>
      </c>
      <c r="L363" s="1" t="s">
        <v>10</v>
      </c>
      <c r="M363" s="1" t="s">
        <v>10</v>
      </c>
      <c r="N363" s="5" t="s">
        <v>10</v>
      </c>
      <c r="O363" s="4">
        <v>3408</v>
      </c>
      <c r="P363" s="4">
        <v>1853</v>
      </c>
      <c r="Q363" s="5">
        <v>54.4</v>
      </c>
      <c r="R363" s="2">
        <v>105</v>
      </c>
      <c r="HZ363" s="34"/>
    </row>
    <row r="364" spans="1:234" ht="15" customHeight="1">
      <c r="A364" s="66" t="s">
        <v>276</v>
      </c>
      <c r="B364" s="2">
        <v>2014</v>
      </c>
      <c r="C364" s="1" t="s">
        <v>13</v>
      </c>
      <c r="D364" s="1" t="s">
        <v>610</v>
      </c>
      <c r="E364" s="1" t="s">
        <v>277</v>
      </c>
      <c r="F364" s="1" t="s">
        <v>9</v>
      </c>
      <c r="G364" s="2">
        <v>2007</v>
      </c>
      <c r="H364" s="1" t="s">
        <v>278</v>
      </c>
      <c r="I364" s="1" t="s">
        <v>89</v>
      </c>
      <c r="J364" s="1" t="s">
        <v>16</v>
      </c>
      <c r="K364" s="3" t="s">
        <v>35</v>
      </c>
      <c r="L364" s="1" t="s">
        <v>10</v>
      </c>
      <c r="M364" s="1" t="s">
        <v>10</v>
      </c>
      <c r="N364" s="5" t="s">
        <v>10</v>
      </c>
      <c r="O364" s="4">
        <v>386</v>
      </c>
      <c r="P364" s="4">
        <f t="shared" ref="P364:P371" si="28">Q364*O364/100</f>
        <v>101.904</v>
      </c>
      <c r="Q364" s="5">
        <v>26.4</v>
      </c>
      <c r="R364" s="2">
        <v>105</v>
      </c>
      <c r="HZ364" s="34"/>
    </row>
    <row r="365" spans="1:234" ht="15" customHeight="1">
      <c r="A365" s="66" t="s">
        <v>276</v>
      </c>
      <c r="B365" s="2">
        <v>2014</v>
      </c>
      <c r="C365" s="1" t="s">
        <v>13</v>
      </c>
      <c r="D365" s="1" t="s">
        <v>610</v>
      </c>
      <c r="E365" s="1" t="s">
        <v>277</v>
      </c>
      <c r="F365" s="1" t="s">
        <v>9</v>
      </c>
      <c r="G365" s="2">
        <v>2007</v>
      </c>
      <c r="H365" s="1" t="s">
        <v>278</v>
      </c>
      <c r="I365" s="1" t="s">
        <v>89</v>
      </c>
      <c r="J365" s="1" t="s">
        <v>16</v>
      </c>
      <c r="K365" s="3" t="s">
        <v>189</v>
      </c>
      <c r="L365" s="1" t="s">
        <v>10</v>
      </c>
      <c r="M365" s="1" t="s">
        <v>10</v>
      </c>
      <c r="N365" s="5" t="s">
        <v>10</v>
      </c>
      <c r="O365" s="4">
        <v>560</v>
      </c>
      <c r="P365" s="4">
        <f t="shared" si="28"/>
        <v>276.08</v>
      </c>
      <c r="Q365" s="5">
        <v>49.3</v>
      </c>
      <c r="R365" s="2">
        <v>105</v>
      </c>
      <c r="HZ365" s="34"/>
    </row>
    <row r="366" spans="1:234" ht="15" customHeight="1">
      <c r="A366" s="66" t="s">
        <v>276</v>
      </c>
      <c r="B366" s="2">
        <v>2014</v>
      </c>
      <c r="C366" s="1" t="s">
        <v>13</v>
      </c>
      <c r="D366" s="1" t="s">
        <v>610</v>
      </c>
      <c r="E366" s="1" t="s">
        <v>277</v>
      </c>
      <c r="F366" s="1" t="s">
        <v>9</v>
      </c>
      <c r="G366" s="2">
        <v>2007</v>
      </c>
      <c r="H366" s="1" t="s">
        <v>278</v>
      </c>
      <c r="I366" s="1" t="s">
        <v>89</v>
      </c>
      <c r="J366" s="1" t="s">
        <v>16</v>
      </c>
      <c r="K366" s="3" t="s">
        <v>190</v>
      </c>
      <c r="L366" s="1" t="s">
        <v>10</v>
      </c>
      <c r="M366" s="1" t="s">
        <v>10</v>
      </c>
      <c r="N366" s="5" t="s">
        <v>10</v>
      </c>
      <c r="O366" s="4">
        <v>729</v>
      </c>
      <c r="P366" s="4">
        <f t="shared" si="28"/>
        <v>452.709</v>
      </c>
      <c r="Q366" s="5">
        <v>62.1</v>
      </c>
      <c r="R366" s="2">
        <v>105</v>
      </c>
      <c r="HZ366" s="34"/>
    </row>
    <row r="367" spans="1:234" ht="15" customHeight="1">
      <c r="A367" s="66" t="s">
        <v>276</v>
      </c>
      <c r="B367" s="2">
        <v>2014</v>
      </c>
      <c r="C367" s="1" t="s">
        <v>13</v>
      </c>
      <c r="D367" s="1" t="s">
        <v>610</v>
      </c>
      <c r="E367" s="1" t="s">
        <v>277</v>
      </c>
      <c r="F367" s="1" t="s">
        <v>9</v>
      </c>
      <c r="G367" s="2">
        <v>2007</v>
      </c>
      <c r="H367" s="1" t="s">
        <v>278</v>
      </c>
      <c r="I367" s="1" t="s">
        <v>89</v>
      </c>
      <c r="J367" s="1" t="s">
        <v>16</v>
      </c>
      <c r="K367" s="3" t="s">
        <v>191</v>
      </c>
      <c r="L367" s="1" t="s">
        <v>10</v>
      </c>
      <c r="M367" s="1" t="s">
        <v>10</v>
      </c>
      <c r="N367" s="5" t="s">
        <v>10</v>
      </c>
      <c r="O367" s="4">
        <v>769</v>
      </c>
      <c r="P367" s="4">
        <f t="shared" si="28"/>
        <v>476.01099999999997</v>
      </c>
      <c r="Q367" s="5">
        <v>61.9</v>
      </c>
      <c r="R367" s="2">
        <v>105</v>
      </c>
      <c r="HZ367" s="34"/>
    </row>
    <row r="368" spans="1:234" ht="15" customHeight="1">
      <c r="A368" s="66" t="s">
        <v>276</v>
      </c>
      <c r="B368" s="2">
        <v>2014</v>
      </c>
      <c r="C368" s="1" t="s">
        <v>13</v>
      </c>
      <c r="D368" s="1" t="s">
        <v>610</v>
      </c>
      <c r="E368" s="1" t="s">
        <v>277</v>
      </c>
      <c r="F368" s="1" t="s">
        <v>9</v>
      </c>
      <c r="G368" s="2">
        <v>2007</v>
      </c>
      <c r="H368" s="1" t="s">
        <v>278</v>
      </c>
      <c r="I368" s="1" t="s">
        <v>89</v>
      </c>
      <c r="J368" s="1" t="s">
        <v>16</v>
      </c>
      <c r="K368" s="3" t="s">
        <v>192</v>
      </c>
      <c r="L368" s="1" t="s">
        <v>10</v>
      </c>
      <c r="M368" s="1" t="s">
        <v>10</v>
      </c>
      <c r="N368" s="5" t="s">
        <v>10</v>
      </c>
      <c r="O368" s="4">
        <v>467</v>
      </c>
      <c r="P368" s="4">
        <f t="shared" si="28"/>
        <v>276.93099999999998</v>
      </c>
      <c r="Q368" s="5">
        <v>59.3</v>
      </c>
      <c r="R368" s="2">
        <v>105</v>
      </c>
      <c r="HZ368" s="34"/>
    </row>
    <row r="369" spans="1:234" ht="15" customHeight="1">
      <c r="A369" s="66" t="s">
        <v>276</v>
      </c>
      <c r="B369" s="2">
        <v>2014</v>
      </c>
      <c r="C369" s="1" t="s">
        <v>13</v>
      </c>
      <c r="D369" s="1" t="s">
        <v>610</v>
      </c>
      <c r="E369" s="1" t="s">
        <v>277</v>
      </c>
      <c r="F369" s="1" t="s">
        <v>9</v>
      </c>
      <c r="G369" s="2">
        <v>2007</v>
      </c>
      <c r="H369" s="1" t="s">
        <v>278</v>
      </c>
      <c r="I369" s="1" t="s">
        <v>89</v>
      </c>
      <c r="J369" s="1" t="s">
        <v>16</v>
      </c>
      <c r="K369" s="3" t="s">
        <v>280</v>
      </c>
      <c r="L369" s="1" t="s">
        <v>10</v>
      </c>
      <c r="M369" s="1" t="s">
        <v>10</v>
      </c>
      <c r="N369" s="5" t="s">
        <v>10</v>
      </c>
      <c r="O369" s="4">
        <v>497</v>
      </c>
      <c r="P369" s="4">
        <f t="shared" si="28"/>
        <v>268.87700000000001</v>
      </c>
      <c r="Q369" s="5">
        <v>54.1</v>
      </c>
      <c r="R369" s="2">
        <v>105</v>
      </c>
      <c r="HZ369" s="34"/>
    </row>
    <row r="370" spans="1:234" ht="15" customHeight="1">
      <c r="A370" s="66" t="s">
        <v>276</v>
      </c>
      <c r="B370" s="2">
        <v>2014</v>
      </c>
      <c r="C370" s="1" t="s">
        <v>13</v>
      </c>
      <c r="D370" s="1" t="s">
        <v>610</v>
      </c>
      <c r="E370" s="1" t="s">
        <v>277</v>
      </c>
      <c r="F370" s="1" t="s">
        <v>9</v>
      </c>
      <c r="G370" s="2">
        <v>2007</v>
      </c>
      <c r="H370" s="1" t="s">
        <v>278</v>
      </c>
      <c r="I370" s="1" t="s">
        <v>89</v>
      </c>
      <c r="J370" s="1" t="s">
        <v>23</v>
      </c>
      <c r="K370" s="3" t="s">
        <v>279</v>
      </c>
      <c r="L370" s="1" t="s">
        <v>10</v>
      </c>
      <c r="M370" s="1" t="s">
        <v>10</v>
      </c>
      <c r="N370" s="5" t="s">
        <v>10</v>
      </c>
      <c r="O370" s="4">
        <v>1568</v>
      </c>
      <c r="P370" s="4">
        <f t="shared" si="28"/>
        <v>682.08</v>
      </c>
      <c r="Q370" s="5">
        <v>43.5</v>
      </c>
      <c r="R370" s="2">
        <v>105</v>
      </c>
      <c r="HZ370" s="34"/>
    </row>
    <row r="371" spans="1:234" ht="15" customHeight="1">
      <c r="A371" s="66" t="s">
        <v>276</v>
      </c>
      <c r="B371" s="2">
        <v>2014</v>
      </c>
      <c r="C371" s="1" t="s">
        <v>13</v>
      </c>
      <c r="D371" s="1" t="s">
        <v>610</v>
      </c>
      <c r="E371" s="1" t="s">
        <v>277</v>
      </c>
      <c r="F371" s="1" t="s">
        <v>9</v>
      </c>
      <c r="G371" s="2">
        <v>2007</v>
      </c>
      <c r="H371" s="1" t="s">
        <v>278</v>
      </c>
      <c r="I371" s="1" t="s">
        <v>89</v>
      </c>
      <c r="J371" s="1" t="s">
        <v>11</v>
      </c>
      <c r="K371" s="3" t="s">
        <v>279</v>
      </c>
      <c r="L371" s="1" t="s">
        <v>10</v>
      </c>
      <c r="M371" s="1" t="s">
        <v>10</v>
      </c>
      <c r="N371" s="5" t="s">
        <v>10</v>
      </c>
      <c r="O371" s="4">
        <v>1840</v>
      </c>
      <c r="P371" s="4">
        <f t="shared" si="28"/>
        <v>1170.24</v>
      </c>
      <c r="Q371" s="5">
        <v>63.6</v>
      </c>
      <c r="R371" s="2">
        <v>105</v>
      </c>
      <c r="HZ371" s="34"/>
    </row>
    <row r="372" spans="1:234" ht="15" customHeight="1">
      <c r="A372" s="66" t="s">
        <v>276</v>
      </c>
      <c r="B372" s="2">
        <v>2016</v>
      </c>
      <c r="C372" s="1" t="s">
        <v>13</v>
      </c>
      <c r="D372" s="1" t="s">
        <v>610</v>
      </c>
      <c r="E372" s="1" t="s">
        <v>277</v>
      </c>
      <c r="F372" s="1" t="s">
        <v>9</v>
      </c>
      <c r="G372" s="2">
        <v>2003</v>
      </c>
      <c r="H372" s="1" t="s">
        <v>278</v>
      </c>
      <c r="I372" s="1" t="s">
        <v>89</v>
      </c>
      <c r="J372" s="1" t="s">
        <v>16</v>
      </c>
      <c r="K372" s="25" t="s">
        <v>622</v>
      </c>
      <c r="L372" s="1" t="s">
        <v>10</v>
      </c>
      <c r="M372" s="1" t="s">
        <v>10</v>
      </c>
      <c r="N372" s="5" t="s">
        <v>10</v>
      </c>
      <c r="O372" s="4">
        <v>2144</v>
      </c>
      <c r="P372" s="4">
        <f t="shared" ref="P372:P377" si="29">O372*Q372/100</f>
        <v>1185.6320000000001</v>
      </c>
      <c r="Q372" s="5">
        <v>55.3</v>
      </c>
      <c r="R372" s="2">
        <v>106</v>
      </c>
      <c r="HZ372" s="34"/>
    </row>
    <row r="373" spans="1:234" ht="15" customHeight="1">
      <c r="A373" s="69" t="s">
        <v>276</v>
      </c>
      <c r="B373" s="2">
        <v>2016</v>
      </c>
      <c r="C373" s="1" t="s">
        <v>13</v>
      </c>
      <c r="D373" s="1" t="s">
        <v>610</v>
      </c>
      <c r="E373" s="1" t="s">
        <v>277</v>
      </c>
      <c r="F373" s="1" t="s">
        <v>9</v>
      </c>
      <c r="G373" s="2">
        <v>2007</v>
      </c>
      <c r="H373" s="1" t="s">
        <v>278</v>
      </c>
      <c r="I373" s="1" t="s">
        <v>89</v>
      </c>
      <c r="J373" s="1" t="s">
        <v>16</v>
      </c>
      <c r="K373" s="25" t="s">
        <v>622</v>
      </c>
      <c r="L373" s="1" t="s">
        <v>10</v>
      </c>
      <c r="M373" s="1" t="s">
        <v>10</v>
      </c>
      <c r="N373" s="5" t="s">
        <v>10</v>
      </c>
      <c r="O373" s="4">
        <v>3417</v>
      </c>
      <c r="P373" s="4">
        <f t="shared" si="29"/>
        <v>1858.848</v>
      </c>
      <c r="Q373" s="5">
        <v>54.4</v>
      </c>
      <c r="R373" s="2">
        <v>106</v>
      </c>
      <c r="HZ373" s="34"/>
    </row>
    <row r="374" spans="1:234" ht="15" customHeight="1">
      <c r="A374" s="69" t="s">
        <v>276</v>
      </c>
      <c r="B374" s="2">
        <v>2016</v>
      </c>
      <c r="C374" s="1" t="s">
        <v>13</v>
      </c>
      <c r="D374" s="1" t="s">
        <v>610</v>
      </c>
      <c r="E374" s="1" t="s">
        <v>277</v>
      </c>
      <c r="F374" s="1" t="s">
        <v>9</v>
      </c>
      <c r="G374" s="2">
        <v>2013</v>
      </c>
      <c r="H374" s="1" t="s">
        <v>278</v>
      </c>
      <c r="I374" s="1" t="s">
        <v>89</v>
      </c>
      <c r="J374" s="1" t="s">
        <v>16</v>
      </c>
      <c r="K374" s="25" t="s">
        <v>622</v>
      </c>
      <c r="L374" s="1" t="s">
        <v>10</v>
      </c>
      <c r="M374" s="1" t="s">
        <v>10</v>
      </c>
      <c r="N374" s="5" t="s">
        <v>10</v>
      </c>
      <c r="O374" s="4">
        <v>4713</v>
      </c>
      <c r="P374" s="4">
        <f t="shared" si="29"/>
        <v>2356.5</v>
      </c>
      <c r="Q374" s="5">
        <v>50</v>
      </c>
      <c r="R374" s="2">
        <v>106</v>
      </c>
      <c r="HZ374" s="34"/>
    </row>
    <row r="375" spans="1:234" ht="15" customHeight="1">
      <c r="A375" s="66" t="s">
        <v>281</v>
      </c>
      <c r="B375" s="2">
        <v>2015</v>
      </c>
      <c r="C375" s="1" t="s">
        <v>8</v>
      </c>
      <c r="D375" s="1" t="s">
        <v>408</v>
      </c>
      <c r="E375" s="1" t="s">
        <v>67</v>
      </c>
      <c r="F375" s="1" t="s">
        <v>282</v>
      </c>
      <c r="G375" s="2">
        <v>1992</v>
      </c>
      <c r="H375" s="1" t="s">
        <v>57</v>
      </c>
      <c r="I375" s="1" t="s">
        <v>112</v>
      </c>
      <c r="J375" s="1" t="s">
        <v>11</v>
      </c>
      <c r="K375" s="3" t="s">
        <v>283</v>
      </c>
      <c r="L375" s="4">
        <v>200</v>
      </c>
      <c r="M375" s="4">
        <f>L375*N375/100</f>
        <v>139</v>
      </c>
      <c r="N375" s="5">
        <v>69.5</v>
      </c>
      <c r="O375" s="4">
        <v>200</v>
      </c>
      <c r="P375" s="4">
        <f t="shared" si="29"/>
        <v>35</v>
      </c>
      <c r="Q375" s="5">
        <v>17.5</v>
      </c>
      <c r="R375" s="2">
        <v>107</v>
      </c>
      <c r="HZ375" s="34"/>
    </row>
    <row r="376" spans="1:234" ht="15" customHeight="1">
      <c r="A376" s="66" t="s">
        <v>281</v>
      </c>
      <c r="B376" s="2">
        <v>2015</v>
      </c>
      <c r="C376" s="1" t="s">
        <v>8</v>
      </c>
      <c r="D376" s="1" t="s">
        <v>408</v>
      </c>
      <c r="E376" s="1" t="s">
        <v>67</v>
      </c>
      <c r="F376" s="1" t="s">
        <v>282</v>
      </c>
      <c r="G376" s="2">
        <v>2002</v>
      </c>
      <c r="H376" s="1" t="s">
        <v>57</v>
      </c>
      <c r="I376" s="1" t="s">
        <v>112</v>
      </c>
      <c r="J376" s="1" t="s">
        <v>11</v>
      </c>
      <c r="K376" s="3" t="s">
        <v>283</v>
      </c>
      <c r="L376" s="4">
        <v>200</v>
      </c>
      <c r="M376" s="4">
        <f>L376*N376/100</f>
        <v>113</v>
      </c>
      <c r="N376" s="5">
        <v>56.5</v>
      </c>
      <c r="O376" s="4">
        <v>200</v>
      </c>
      <c r="P376" s="4">
        <f t="shared" si="29"/>
        <v>32</v>
      </c>
      <c r="Q376" s="5">
        <v>16</v>
      </c>
      <c r="R376" s="2">
        <v>107</v>
      </c>
      <c r="HZ376" s="34"/>
    </row>
    <row r="377" spans="1:234" ht="15" customHeight="1">
      <c r="A377" s="66" t="s">
        <v>281</v>
      </c>
      <c r="B377" s="2">
        <v>2015</v>
      </c>
      <c r="C377" s="1" t="s">
        <v>8</v>
      </c>
      <c r="D377" s="1" t="s">
        <v>408</v>
      </c>
      <c r="E377" s="1" t="s">
        <v>67</v>
      </c>
      <c r="F377" s="1" t="s">
        <v>282</v>
      </c>
      <c r="G377" s="2">
        <v>2012</v>
      </c>
      <c r="H377" s="1" t="s">
        <v>57</v>
      </c>
      <c r="I377" s="1" t="s">
        <v>112</v>
      </c>
      <c r="J377" s="1" t="s">
        <v>11</v>
      </c>
      <c r="K377" s="3" t="s">
        <v>283</v>
      </c>
      <c r="L377" s="4">
        <v>200</v>
      </c>
      <c r="M377" s="4">
        <f>L377*N377/100</f>
        <v>90</v>
      </c>
      <c r="N377" s="5">
        <v>45</v>
      </c>
      <c r="O377" s="4">
        <v>200</v>
      </c>
      <c r="P377" s="4">
        <f t="shared" si="29"/>
        <v>22</v>
      </c>
      <c r="Q377" s="5">
        <v>11</v>
      </c>
      <c r="R377" s="2">
        <v>107</v>
      </c>
      <c r="HZ377" s="34"/>
    </row>
    <row r="378" spans="1:234" ht="15" customHeight="1">
      <c r="A378" s="66" t="s">
        <v>281</v>
      </c>
      <c r="B378" s="2">
        <v>2015</v>
      </c>
      <c r="C378" s="1" t="s">
        <v>8</v>
      </c>
      <c r="D378" s="1" t="s">
        <v>408</v>
      </c>
      <c r="E378" s="1" t="s">
        <v>67</v>
      </c>
      <c r="F378" s="1" t="s">
        <v>282</v>
      </c>
      <c r="G378" s="1" t="s">
        <v>284</v>
      </c>
      <c r="H378" s="1" t="s">
        <v>57</v>
      </c>
      <c r="I378" s="1" t="s">
        <v>112</v>
      </c>
      <c r="J378" s="1" t="s">
        <v>11</v>
      </c>
      <c r="K378" s="3" t="s">
        <v>195</v>
      </c>
      <c r="L378" s="4">
        <v>38</v>
      </c>
      <c r="M378" s="4">
        <f>N378*L378/100</f>
        <v>19</v>
      </c>
      <c r="N378" s="5">
        <v>50</v>
      </c>
      <c r="O378" s="4">
        <v>38</v>
      </c>
      <c r="P378" s="4">
        <f>Q378*O378/100</f>
        <v>2.0140000000000002</v>
      </c>
      <c r="Q378" s="5">
        <v>5.3</v>
      </c>
      <c r="R378" s="2">
        <v>107</v>
      </c>
      <c r="HZ378" s="34"/>
    </row>
    <row r="379" spans="1:234" ht="15" customHeight="1">
      <c r="A379" s="66" t="s">
        <v>281</v>
      </c>
      <c r="B379" s="2">
        <v>2015</v>
      </c>
      <c r="C379" s="1" t="s">
        <v>8</v>
      </c>
      <c r="D379" s="1" t="s">
        <v>408</v>
      </c>
      <c r="E379" s="1" t="s">
        <v>67</v>
      </c>
      <c r="F379" s="1" t="s">
        <v>282</v>
      </c>
      <c r="G379" s="1" t="s">
        <v>284</v>
      </c>
      <c r="H379" s="1" t="s">
        <v>57</v>
      </c>
      <c r="I379" s="1" t="s">
        <v>112</v>
      </c>
      <c r="J379" s="1" t="s">
        <v>11</v>
      </c>
      <c r="K379" s="3" t="s">
        <v>25</v>
      </c>
      <c r="L379" s="4">
        <v>101</v>
      </c>
      <c r="M379" s="4">
        <f>N379*L379/100</f>
        <v>52.015000000000001</v>
      </c>
      <c r="N379" s="5">
        <v>51.5</v>
      </c>
      <c r="O379" s="4">
        <v>101</v>
      </c>
      <c r="P379" s="4">
        <f>Q379*O379/100</f>
        <v>5.9590000000000005</v>
      </c>
      <c r="Q379" s="5">
        <v>5.9</v>
      </c>
      <c r="R379" s="2">
        <v>107</v>
      </c>
      <c r="HZ379" s="34"/>
    </row>
    <row r="380" spans="1:234" ht="15" customHeight="1">
      <c r="A380" s="66" t="s">
        <v>281</v>
      </c>
      <c r="B380" s="2">
        <v>2015</v>
      </c>
      <c r="C380" s="1" t="s">
        <v>8</v>
      </c>
      <c r="D380" s="1" t="s">
        <v>408</v>
      </c>
      <c r="E380" s="1" t="s">
        <v>67</v>
      </c>
      <c r="F380" s="1" t="s">
        <v>282</v>
      </c>
      <c r="G380" s="1" t="s">
        <v>284</v>
      </c>
      <c r="H380" s="1" t="s">
        <v>57</v>
      </c>
      <c r="I380" s="1" t="s">
        <v>112</v>
      </c>
      <c r="J380" s="1" t="s">
        <v>11</v>
      </c>
      <c r="K380" s="3" t="s">
        <v>26</v>
      </c>
      <c r="L380" s="4">
        <v>228</v>
      </c>
      <c r="M380" s="4">
        <f>N380*L380/100</f>
        <v>118.104</v>
      </c>
      <c r="N380" s="5">
        <v>51.8</v>
      </c>
      <c r="O380" s="4">
        <v>228</v>
      </c>
      <c r="P380" s="4">
        <f>Q380*O380/100</f>
        <v>33.06</v>
      </c>
      <c r="Q380" s="5">
        <v>14.5</v>
      </c>
      <c r="R380" s="2">
        <v>107</v>
      </c>
      <c r="HZ380" s="34"/>
    </row>
    <row r="381" spans="1:234" ht="15" customHeight="1">
      <c r="A381" s="66" t="s">
        <v>281</v>
      </c>
      <c r="B381" s="2">
        <v>2015</v>
      </c>
      <c r="C381" s="1" t="s">
        <v>8</v>
      </c>
      <c r="D381" s="1" t="s">
        <v>408</v>
      </c>
      <c r="E381" s="1" t="s">
        <v>67</v>
      </c>
      <c r="F381" s="1" t="s">
        <v>282</v>
      </c>
      <c r="G381" s="1" t="s">
        <v>284</v>
      </c>
      <c r="H381" s="1" t="s">
        <v>57</v>
      </c>
      <c r="I381" s="1" t="s">
        <v>112</v>
      </c>
      <c r="J381" s="1" t="s">
        <v>11</v>
      </c>
      <c r="K381" s="3" t="s">
        <v>27</v>
      </c>
      <c r="L381" s="4">
        <v>150</v>
      </c>
      <c r="M381" s="4">
        <f>N381*L381/100</f>
        <v>94.95</v>
      </c>
      <c r="N381" s="5">
        <v>63.3</v>
      </c>
      <c r="O381" s="4">
        <v>150</v>
      </c>
      <c r="P381" s="4">
        <f>Q381*O381/100</f>
        <v>25.95</v>
      </c>
      <c r="Q381" s="5">
        <v>17.3</v>
      </c>
      <c r="R381" s="2">
        <v>107</v>
      </c>
      <c r="HZ381" s="34"/>
    </row>
    <row r="382" spans="1:234" ht="15" customHeight="1">
      <c r="A382" s="66" t="s">
        <v>281</v>
      </c>
      <c r="B382" s="2">
        <v>2015</v>
      </c>
      <c r="C382" s="1" t="s">
        <v>8</v>
      </c>
      <c r="D382" s="1" t="s">
        <v>408</v>
      </c>
      <c r="E382" s="1" t="s">
        <v>67</v>
      </c>
      <c r="F382" s="1" t="s">
        <v>282</v>
      </c>
      <c r="G382" s="1" t="s">
        <v>284</v>
      </c>
      <c r="H382" s="1" t="s">
        <v>57</v>
      </c>
      <c r="I382" s="1" t="s">
        <v>112</v>
      </c>
      <c r="J382" s="1" t="s">
        <v>11</v>
      </c>
      <c r="K382" s="3" t="s">
        <v>285</v>
      </c>
      <c r="L382" s="4">
        <v>83</v>
      </c>
      <c r="M382" s="4">
        <f>N382*L382/100</f>
        <v>58.01700000000001</v>
      </c>
      <c r="N382" s="5">
        <v>69.900000000000006</v>
      </c>
      <c r="O382" s="4">
        <v>83</v>
      </c>
      <c r="P382" s="4">
        <f>Q382*O382/100</f>
        <v>20.999000000000002</v>
      </c>
      <c r="Q382" s="5">
        <v>25.3</v>
      </c>
      <c r="R382" s="2">
        <v>107</v>
      </c>
      <c r="HZ382" s="34"/>
    </row>
    <row r="383" spans="1:234" s="46" customFormat="1" ht="15" customHeight="1">
      <c r="A383" s="70" t="s">
        <v>286</v>
      </c>
      <c r="B383" s="17">
        <v>2013</v>
      </c>
      <c r="C383" s="18" t="s">
        <v>13</v>
      </c>
      <c r="D383" s="18" t="s">
        <v>122</v>
      </c>
      <c r="E383" s="18" t="s">
        <v>287</v>
      </c>
      <c r="F383" s="18" t="s">
        <v>9</v>
      </c>
      <c r="G383" s="18" t="s">
        <v>194</v>
      </c>
      <c r="H383" s="18" t="s">
        <v>362</v>
      </c>
      <c r="I383" s="18" t="s">
        <v>112</v>
      </c>
      <c r="J383" s="18" t="s">
        <v>11</v>
      </c>
      <c r="K383" s="19" t="s">
        <v>288</v>
      </c>
      <c r="L383" s="20">
        <v>290</v>
      </c>
      <c r="M383" s="20">
        <v>254</v>
      </c>
      <c r="N383" s="21">
        <f>M383*100/L383</f>
        <v>87.58620689655173</v>
      </c>
      <c r="O383" s="20">
        <v>290</v>
      </c>
      <c r="P383" s="20">
        <v>135</v>
      </c>
      <c r="Q383" s="21">
        <f>P383*100/O383</f>
        <v>46.551724137931032</v>
      </c>
      <c r="R383" s="17">
        <v>108</v>
      </c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  <c r="BY383" s="45"/>
      <c r="BZ383" s="45"/>
      <c r="CA383" s="45"/>
      <c r="CB383" s="45"/>
      <c r="CC383" s="45"/>
      <c r="CD383" s="45"/>
      <c r="CE383" s="45"/>
      <c r="CF383" s="45"/>
      <c r="CG383" s="45"/>
      <c r="CH383" s="45"/>
      <c r="CI383" s="45"/>
      <c r="CJ383" s="45"/>
      <c r="CK383" s="45"/>
      <c r="CL383" s="45"/>
      <c r="CM383" s="45"/>
      <c r="CN383" s="45"/>
      <c r="CO383" s="45"/>
      <c r="CP383" s="45"/>
      <c r="CQ383" s="45"/>
      <c r="CR383" s="45"/>
      <c r="CS383" s="45"/>
      <c r="CT383" s="45"/>
      <c r="CU383" s="45"/>
      <c r="CV383" s="45"/>
      <c r="CW383" s="45"/>
      <c r="CX383" s="45"/>
      <c r="CY383" s="45"/>
      <c r="CZ383" s="45"/>
      <c r="DA383" s="45"/>
      <c r="DB383" s="45"/>
      <c r="DC383" s="45"/>
      <c r="DD383" s="45"/>
      <c r="DE383" s="45"/>
      <c r="DF383" s="45"/>
      <c r="DG383" s="45"/>
      <c r="DH383" s="45"/>
      <c r="DI383" s="45"/>
      <c r="DJ383" s="45"/>
      <c r="DK383" s="45"/>
      <c r="DL383" s="45"/>
      <c r="DM383" s="45"/>
      <c r="DN383" s="45"/>
      <c r="DO383" s="45"/>
      <c r="DP383" s="45"/>
      <c r="DQ383" s="45"/>
      <c r="DR383" s="45"/>
      <c r="DS383" s="45"/>
      <c r="DT383" s="45"/>
      <c r="DU383" s="45"/>
      <c r="DV383" s="45"/>
      <c r="DW383" s="45"/>
      <c r="DX383" s="45"/>
      <c r="DY383" s="45"/>
      <c r="DZ383" s="45"/>
      <c r="EA383" s="45"/>
      <c r="EB383" s="45"/>
      <c r="EC383" s="45"/>
      <c r="ED383" s="45"/>
      <c r="EE383" s="45"/>
      <c r="EF383" s="45"/>
      <c r="EG383" s="45"/>
      <c r="EH383" s="45"/>
      <c r="EI383" s="45"/>
      <c r="EJ383" s="45"/>
      <c r="EK383" s="45"/>
      <c r="EL383" s="45"/>
      <c r="EM383" s="45"/>
      <c r="EN383" s="45"/>
      <c r="EO383" s="45"/>
      <c r="EP383" s="45"/>
      <c r="EQ383" s="45"/>
      <c r="ER383" s="45"/>
      <c r="ES383" s="45"/>
      <c r="ET383" s="45"/>
      <c r="EU383" s="45"/>
      <c r="EV383" s="45"/>
      <c r="EW383" s="45"/>
      <c r="EX383" s="45"/>
      <c r="EY383" s="45"/>
      <c r="EZ383" s="45"/>
      <c r="FA383" s="45"/>
      <c r="FB383" s="45"/>
      <c r="FC383" s="45"/>
      <c r="FD383" s="45"/>
      <c r="FE383" s="45"/>
      <c r="FF383" s="45"/>
      <c r="FG383" s="45"/>
      <c r="FH383" s="45"/>
      <c r="FI383" s="45"/>
      <c r="FJ383" s="45"/>
      <c r="FK383" s="45"/>
      <c r="FL383" s="45"/>
      <c r="FM383" s="45"/>
      <c r="FN383" s="45"/>
      <c r="FO383" s="45"/>
      <c r="FP383" s="45"/>
      <c r="FQ383" s="45"/>
      <c r="FR383" s="45"/>
      <c r="FS383" s="45"/>
      <c r="FT383" s="45"/>
      <c r="FU383" s="45"/>
      <c r="FV383" s="45"/>
      <c r="FW383" s="45"/>
      <c r="FX383" s="45"/>
      <c r="FY383" s="45"/>
      <c r="FZ383" s="45"/>
      <c r="GA383" s="45"/>
      <c r="GB383" s="45"/>
      <c r="GC383" s="45"/>
      <c r="GD383" s="45"/>
      <c r="GE383" s="45"/>
      <c r="GF383" s="45"/>
      <c r="GG383" s="45"/>
      <c r="GH383" s="45"/>
      <c r="GI383" s="45"/>
      <c r="GJ383" s="45"/>
      <c r="GK383" s="45"/>
      <c r="GL383" s="45"/>
      <c r="GM383" s="45"/>
      <c r="GN383" s="45"/>
      <c r="GO383" s="45"/>
      <c r="GP383" s="45"/>
      <c r="GQ383" s="45"/>
      <c r="GR383" s="45"/>
      <c r="GS383" s="45"/>
      <c r="GT383" s="45"/>
      <c r="GU383" s="45"/>
      <c r="GV383" s="45"/>
      <c r="GW383" s="45"/>
      <c r="GX383" s="45"/>
      <c r="GY383" s="45"/>
      <c r="GZ383" s="45"/>
      <c r="HA383" s="45"/>
      <c r="HB383" s="45"/>
      <c r="HC383" s="45"/>
      <c r="HD383" s="45"/>
      <c r="HE383" s="45"/>
      <c r="HF383" s="45"/>
      <c r="HG383" s="45"/>
      <c r="HH383" s="45"/>
      <c r="HI383" s="45"/>
      <c r="HJ383" s="45"/>
      <c r="HK383" s="45"/>
      <c r="HL383" s="45"/>
      <c r="HM383" s="45"/>
      <c r="HN383" s="45"/>
      <c r="HO383" s="45"/>
      <c r="HP383" s="45"/>
      <c r="HQ383" s="45"/>
      <c r="HR383" s="45"/>
      <c r="HS383" s="45"/>
      <c r="HT383" s="45"/>
      <c r="HU383" s="45"/>
      <c r="HV383" s="45"/>
      <c r="HW383" s="45"/>
      <c r="HX383" s="45"/>
      <c r="HY383" s="45"/>
    </row>
    <row r="384" spans="1:234" ht="15" customHeight="1">
      <c r="A384" s="66" t="s">
        <v>289</v>
      </c>
      <c r="B384" s="2">
        <v>2015</v>
      </c>
      <c r="C384" s="1" t="s">
        <v>13</v>
      </c>
      <c r="D384" s="1" t="s">
        <v>610</v>
      </c>
      <c r="E384" s="1" t="s">
        <v>266</v>
      </c>
      <c r="F384" s="1" t="s">
        <v>290</v>
      </c>
      <c r="G384" s="1" t="s">
        <v>291</v>
      </c>
      <c r="H384" s="1" t="s">
        <v>268</v>
      </c>
      <c r="I384" s="1" t="s">
        <v>400</v>
      </c>
      <c r="J384" s="1" t="s">
        <v>16</v>
      </c>
      <c r="K384" s="3" t="s">
        <v>292</v>
      </c>
      <c r="L384" s="4">
        <v>1932</v>
      </c>
      <c r="M384" s="4">
        <f>L384*N384/100</f>
        <v>1584.24</v>
      </c>
      <c r="N384" s="5">
        <v>82</v>
      </c>
      <c r="O384" s="4">
        <v>1932</v>
      </c>
      <c r="P384" s="4">
        <f>O384*Q384/100</f>
        <v>459.81599999999997</v>
      </c>
      <c r="Q384" s="5">
        <v>23.8</v>
      </c>
      <c r="R384" s="2">
        <v>109</v>
      </c>
      <c r="HZ384" s="34"/>
    </row>
    <row r="385" spans="1:234" ht="15" customHeight="1">
      <c r="A385" s="66" t="s">
        <v>293</v>
      </c>
      <c r="B385" s="2">
        <v>2018</v>
      </c>
      <c r="C385" s="1" t="s">
        <v>13</v>
      </c>
      <c r="D385" s="1" t="s">
        <v>414</v>
      </c>
      <c r="E385" s="1" t="s">
        <v>43</v>
      </c>
      <c r="F385" s="1" t="s">
        <v>294</v>
      </c>
      <c r="G385" s="2">
        <v>2012</v>
      </c>
      <c r="H385" s="1" t="s">
        <v>22</v>
      </c>
      <c r="I385" s="1" t="s">
        <v>101</v>
      </c>
      <c r="J385" s="1" t="s">
        <v>16</v>
      </c>
      <c r="K385" s="3" t="s">
        <v>295</v>
      </c>
      <c r="L385" s="1" t="s">
        <v>10</v>
      </c>
      <c r="M385" s="1" t="s">
        <v>10</v>
      </c>
      <c r="N385" s="5" t="s">
        <v>10</v>
      </c>
      <c r="O385" s="4">
        <f>O393+O401</f>
        <v>60760117</v>
      </c>
      <c r="P385" s="4">
        <f>P393+P401</f>
        <v>6044196</v>
      </c>
      <c r="Q385" s="5">
        <f>P385*100/O385</f>
        <v>9.9476371976044753</v>
      </c>
      <c r="R385" s="2">
        <v>110</v>
      </c>
      <c r="HZ385" s="34"/>
    </row>
    <row r="386" spans="1:234" ht="15" customHeight="1">
      <c r="A386" s="66" t="s">
        <v>293</v>
      </c>
      <c r="B386" s="2">
        <v>2018</v>
      </c>
      <c r="C386" s="1" t="s">
        <v>13</v>
      </c>
      <c r="D386" s="1" t="s">
        <v>414</v>
      </c>
      <c r="E386" s="1" t="s">
        <v>43</v>
      </c>
      <c r="F386" s="1" t="s">
        <v>294</v>
      </c>
      <c r="G386" s="2">
        <v>2012</v>
      </c>
      <c r="H386" s="1" t="s">
        <v>22</v>
      </c>
      <c r="I386" s="1" t="s">
        <v>101</v>
      </c>
      <c r="J386" s="1" t="s">
        <v>16</v>
      </c>
      <c r="K386" s="3" t="s">
        <v>24</v>
      </c>
      <c r="L386" s="1" t="s">
        <v>10</v>
      </c>
      <c r="M386" s="1" t="s">
        <v>10</v>
      </c>
      <c r="N386" s="5" t="s">
        <v>10</v>
      </c>
      <c r="O386" s="4"/>
      <c r="P386" s="4"/>
      <c r="Q386" s="5">
        <v>2.4</v>
      </c>
      <c r="R386" s="2">
        <v>110</v>
      </c>
      <c r="HZ386" s="34"/>
    </row>
    <row r="387" spans="1:234" ht="15" customHeight="1">
      <c r="A387" s="66" t="s">
        <v>293</v>
      </c>
      <c r="B387" s="2">
        <v>2018</v>
      </c>
      <c r="C387" s="1" t="s">
        <v>13</v>
      </c>
      <c r="D387" s="1" t="s">
        <v>414</v>
      </c>
      <c r="E387" s="1" t="s">
        <v>43</v>
      </c>
      <c r="F387" s="1" t="s">
        <v>294</v>
      </c>
      <c r="G387" s="2">
        <v>2012</v>
      </c>
      <c r="H387" s="1" t="s">
        <v>22</v>
      </c>
      <c r="I387" s="1" t="s">
        <v>101</v>
      </c>
      <c r="J387" s="1" t="s">
        <v>16</v>
      </c>
      <c r="K387" s="3" t="s">
        <v>25</v>
      </c>
      <c r="L387" s="1" t="s">
        <v>10</v>
      </c>
      <c r="M387" s="1" t="s">
        <v>10</v>
      </c>
      <c r="N387" s="5" t="s">
        <v>10</v>
      </c>
      <c r="O387" s="4"/>
      <c r="P387" s="4"/>
      <c r="Q387" s="5">
        <v>4</v>
      </c>
      <c r="R387" s="2">
        <v>110</v>
      </c>
      <c r="HZ387" s="34"/>
    </row>
    <row r="388" spans="1:234" ht="15" customHeight="1">
      <c r="A388" s="66" t="s">
        <v>293</v>
      </c>
      <c r="B388" s="2">
        <v>2018</v>
      </c>
      <c r="C388" s="1" t="s">
        <v>13</v>
      </c>
      <c r="D388" s="1" t="s">
        <v>414</v>
      </c>
      <c r="E388" s="1" t="s">
        <v>43</v>
      </c>
      <c r="F388" s="1" t="s">
        <v>294</v>
      </c>
      <c r="G388" s="2">
        <v>2012</v>
      </c>
      <c r="H388" s="1" t="s">
        <v>22</v>
      </c>
      <c r="I388" s="1" t="s">
        <v>101</v>
      </c>
      <c r="J388" s="1" t="s">
        <v>16</v>
      </c>
      <c r="K388" s="3" t="s">
        <v>26</v>
      </c>
      <c r="L388" s="1" t="s">
        <v>10</v>
      </c>
      <c r="M388" s="1" t="s">
        <v>10</v>
      </c>
      <c r="N388" s="5" t="s">
        <v>10</v>
      </c>
      <c r="O388" s="4"/>
      <c r="P388" s="4"/>
      <c r="Q388" s="5">
        <v>7.6</v>
      </c>
      <c r="R388" s="2">
        <v>110</v>
      </c>
      <c r="HZ388" s="34"/>
    </row>
    <row r="389" spans="1:234" ht="15" customHeight="1">
      <c r="A389" s="66" t="s">
        <v>293</v>
      </c>
      <c r="B389" s="2">
        <v>2018</v>
      </c>
      <c r="C389" s="1" t="s">
        <v>13</v>
      </c>
      <c r="D389" s="1" t="s">
        <v>414</v>
      </c>
      <c r="E389" s="1" t="s">
        <v>43</v>
      </c>
      <c r="F389" s="1" t="s">
        <v>294</v>
      </c>
      <c r="G389" s="2">
        <v>2012</v>
      </c>
      <c r="H389" s="1" t="s">
        <v>22</v>
      </c>
      <c r="I389" s="1" t="s">
        <v>101</v>
      </c>
      <c r="J389" s="1" t="s">
        <v>16</v>
      </c>
      <c r="K389" s="3" t="s">
        <v>27</v>
      </c>
      <c r="L389" s="1" t="s">
        <v>10</v>
      </c>
      <c r="M389" s="1" t="s">
        <v>10</v>
      </c>
      <c r="N389" s="5" t="s">
        <v>10</v>
      </c>
      <c r="O389" s="4"/>
      <c r="P389" s="4"/>
      <c r="Q389" s="5">
        <v>11.8</v>
      </c>
      <c r="R389" s="2">
        <v>110</v>
      </c>
      <c r="HZ389" s="34"/>
    </row>
    <row r="390" spans="1:234" ht="15" customHeight="1">
      <c r="A390" s="66" t="s">
        <v>293</v>
      </c>
      <c r="B390" s="2">
        <v>2018</v>
      </c>
      <c r="C390" s="1" t="s">
        <v>13</v>
      </c>
      <c r="D390" s="1" t="s">
        <v>414</v>
      </c>
      <c r="E390" s="1" t="s">
        <v>43</v>
      </c>
      <c r="F390" s="1" t="s">
        <v>294</v>
      </c>
      <c r="G390" s="2">
        <v>2012</v>
      </c>
      <c r="H390" s="1" t="s">
        <v>22</v>
      </c>
      <c r="I390" s="1" t="s">
        <v>101</v>
      </c>
      <c r="J390" s="1" t="s">
        <v>16</v>
      </c>
      <c r="K390" s="3" t="s">
        <v>28</v>
      </c>
      <c r="L390" s="1" t="s">
        <v>10</v>
      </c>
      <c r="M390" s="1" t="s">
        <v>10</v>
      </c>
      <c r="N390" s="5" t="s">
        <v>10</v>
      </c>
      <c r="O390" s="4"/>
      <c r="P390" s="4"/>
      <c r="Q390" s="5">
        <v>13.2</v>
      </c>
      <c r="R390" s="2">
        <v>110</v>
      </c>
      <c r="HZ390" s="34"/>
    </row>
    <row r="391" spans="1:234" ht="15" customHeight="1">
      <c r="A391" s="66" t="s">
        <v>293</v>
      </c>
      <c r="B391" s="2">
        <v>2018</v>
      </c>
      <c r="C391" s="1" t="s">
        <v>13</v>
      </c>
      <c r="D391" s="1" t="s">
        <v>414</v>
      </c>
      <c r="E391" s="1" t="s">
        <v>43</v>
      </c>
      <c r="F391" s="1" t="s">
        <v>294</v>
      </c>
      <c r="G391" s="2">
        <v>2012</v>
      </c>
      <c r="H391" s="1" t="s">
        <v>22</v>
      </c>
      <c r="I391" s="1" t="s">
        <v>101</v>
      </c>
      <c r="J391" s="1" t="s">
        <v>16</v>
      </c>
      <c r="K391" s="3" t="s">
        <v>72</v>
      </c>
      <c r="L391" s="1" t="s">
        <v>10</v>
      </c>
      <c r="M391" s="1" t="s">
        <v>10</v>
      </c>
      <c r="N391" s="5" t="s">
        <v>10</v>
      </c>
      <c r="O391" s="4"/>
      <c r="P391" s="4"/>
      <c r="Q391" s="5">
        <v>15.3</v>
      </c>
      <c r="R391" s="2">
        <v>110</v>
      </c>
      <c r="HZ391" s="34"/>
    </row>
    <row r="392" spans="1:234" ht="15" customHeight="1">
      <c r="A392" s="66" t="s">
        <v>293</v>
      </c>
      <c r="B392" s="2">
        <v>2018</v>
      </c>
      <c r="C392" s="1" t="s">
        <v>13</v>
      </c>
      <c r="D392" s="1" t="s">
        <v>414</v>
      </c>
      <c r="E392" s="1" t="s">
        <v>43</v>
      </c>
      <c r="F392" s="1" t="s">
        <v>294</v>
      </c>
      <c r="G392" s="2">
        <v>2012</v>
      </c>
      <c r="H392" s="1" t="s">
        <v>22</v>
      </c>
      <c r="I392" s="1" t="s">
        <v>101</v>
      </c>
      <c r="J392" s="1" t="s">
        <v>16</v>
      </c>
      <c r="K392" s="3" t="s">
        <v>73</v>
      </c>
      <c r="L392" s="1" t="s">
        <v>10</v>
      </c>
      <c r="M392" s="1" t="s">
        <v>10</v>
      </c>
      <c r="N392" s="5" t="s">
        <v>10</v>
      </c>
      <c r="O392" s="4"/>
      <c r="P392" s="4"/>
      <c r="Q392" s="5">
        <v>24.3</v>
      </c>
      <c r="R392" s="2">
        <v>110</v>
      </c>
      <c r="HZ392" s="34"/>
    </row>
    <row r="393" spans="1:234" ht="15" customHeight="1">
      <c r="A393" s="66" t="s">
        <v>293</v>
      </c>
      <c r="B393" s="2">
        <v>2018</v>
      </c>
      <c r="C393" s="1" t="s">
        <v>13</v>
      </c>
      <c r="D393" s="1" t="s">
        <v>414</v>
      </c>
      <c r="E393" s="1" t="s">
        <v>43</v>
      </c>
      <c r="F393" s="1" t="s">
        <v>294</v>
      </c>
      <c r="G393" s="2">
        <v>2012</v>
      </c>
      <c r="H393" s="1" t="s">
        <v>22</v>
      </c>
      <c r="I393" s="1" t="s">
        <v>101</v>
      </c>
      <c r="J393" s="1" t="s">
        <v>23</v>
      </c>
      <c r="K393" s="3" t="s">
        <v>295</v>
      </c>
      <c r="L393" s="1" t="s">
        <v>10</v>
      </c>
      <c r="M393" s="1" t="s">
        <v>10</v>
      </c>
      <c r="N393" s="5" t="s">
        <v>10</v>
      </c>
      <c r="O393" s="4">
        <v>29252385</v>
      </c>
      <c r="P393" s="4">
        <v>2202774</v>
      </c>
      <c r="Q393" s="5">
        <v>7.5</v>
      </c>
      <c r="R393" s="2">
        <v>110</v>
      </c>
      <c r="HZ393" s="34"/>
    </row>
    <row r="394" spans="1:234" ht="15" customHeight="1">
      <c r="A394" s="66" t="s">
        <v>293</v>
      </c>
      <c r="B394" s="2">
        <v>2018</v>
      </c>
      <c r="C394" s="1" t="s">
        <v>13</v>
      </c>
      <c r="D394" s="1" t="s">
        <v>414</v>
      </c>
      <c r="E394" s="1" t="s">
        <v>43</v>
      </c>
      <c r="F394" s="1" t="s">
        <v>294</v>
      </c>
      <c r="G394" s="2">
        <v>2012</v>
      </c>
      <c r="H394" s="1" t="s">
        <v>22</v>
      </c>
      <c r="I394" s="1" t="s">
        <v>101</v>
      </c>
      <c r="J394" s="1" t="s">
        <v>23</v>
      </c>
      <c r="K394" s="3" t="s">
        <v>24</v>
      </c>
      <c r="L394" s="1" t="s">
        <v>10</v>
      </c>
      <c r="M394" s="1" t="s">
        <v>10</v>
      </c>
      <c r="N394" s="5" t="s">
        <v>10</v>
      </c>
      <c r="O394" s="4"/>
      <c r="P394" s="4"/>
      <c r="Q394" s="5">
        <v>2</v>
      </c>
      <c r="R394" s="2">
        <v>110</v>
      </c>
      <c r="HZ394" s="34"/>
    </row>
    <row r="395" spans="1:234" ht="15" customHeight="1">
      <c r="A395" s="66" t="s">
        <v>293</v>
      </c>
      <c r="B395" s="2">
        <v>2018</v>
      </c>
      <c r="C395" s="1" t="s">
        <v>13</v>
      </c>
      <c r="D395" s="1" t="s">
        <v>414</v>
      </c>
      <c r="E395" s="1" t="s">
        <v>43</v>
      </c>
      <c r="F395" s="1" t="s">
        <v>294</v>
      </c>
      <c r="G395" s="2">
        <v>2012</v>
      </c>
      <c r="H395" s="1" t="s">
        <v>22</v>
      </c>
      <c r="I395" s="1" t="s">
        <v>101</v>
      </c>
      <c r="J395" s="1" t="s">
        <v>23</v>
      </c>
      <c r="K395" s="3" t="s">
        <v>25</v>
      </c>
      <c r="L395" s="1" t="s">
        <v>10</v>
      </c>
      <c r="M395" s="1" t="s">
        <v>10</v>
      </c>
      <c r="N395" s="5" t="s">
        <v>10</v>
      </c>
      <c r="O395" s="4"/>
      <c r="P395" s="4"/>
      <c r="Q395" s="5">
        <v>3.8</v>
      </c>
      <c r="R395" s="2">
        <v>110</v>
      </c>
      <c r="HZ395" s="34"/>
    </row>
    <row r="396" spans="1:234" ht="15" customHeight="1">
      <c r="A396" s="66" t="s">
        <v>293</v>
      </c>
      <c r="B396" s="2">
        <v>2018</v>
      </c>
      <c r="C396" s="1" t="s">
        <v>13</v>
      </c>
      <c r="D396" s="1" t="s">
        <v>414</v>
      </c>
      <c r="E396" s="1" t="s">
        <v>43</v>
      </c>
      <c r="F396" s="1" t="s">
        <v>294</v>
      </c>
      <c r="G396" s="2">
        <v>2012</v>
      </c>
      <c r="H396" s="1" t="s">
        <v>22</v>
      </c>
      <c r="I396" s="1" t="s">
        <v>101</v>
      </c>
      <c r="J396" s="1" t="s">
        <v>23</v>
      </c>
      <c r="K396" s="3" t="s">
        <v>26</v>
      </c>
      <c r="L396" s="1" t="s">
        <v>10</v>
      </c>
      <c r="M396" s="1" t="s">
        <v>10</v>
      </c>
      <c r="N396" s="5" t="s">
        <v>10</v>
      </c>
      <c r="O396" s="4"/>
      <c r="P396" s="4"/>
      <c r="Q396" s="5">
        <v>5.0999999999999996</v>
      </c>
      <c r="R396" s="2">
        <v>110</v>
      </c>
      <c r="HZ396" s="34"/>
    </row>
    <row r="397" spans="1:234" ht="15" customHeight="1">
      <c r="A397" s="66" t="s">
        <v>293</v>
      </c>
      <c r="B397" s="2">
        <v>2018</v>
      </c>
      <c r="C397" s="1" t="s">
        <v>13</v>
      </c>
      <c r="D397" s="1" t="s">
        <v>414</v>
      </c>
      <c r="E397" s="1" t="s">
        <v>43</v>
      </c>
      <c r="F397" s="1" t="s">
        <v>294</v>
      </c>
      <c r="G397" s="2">
        <v>2012</v>
      </c>
      <c r="H397" s="1" t="s">
        <v>22</v>
      </c>
      <c r="I397" s="1" t="s">
        <v>101</v>
      </c>
      <c r="J397" s="1" t="s">
        <v>23</v>
      </c>
      <c r="K397" s="3" t="s">
        <v>27</v>
      </c>
      <c r="L397" s="1" t="s">
        <v>10</v>
      </c>
      <c r="M397" s="1" t="s">
        <v>10</v>
      </c>
      <c r="N397" s="5" t="s">
        <v>10</v>
      </c>
      <c r="O397" s="4"/>
      <c r="P397" s="4"/>
      <c r="Q397" s="5">
        <v>9</v>
      </c>
      <c r="R397" s="2">
        <v>110</v>
      </c>
      <c r="HZ397" s="34"/>
    </row>
    <row r="398" spans="1:234" ht="15" customHeight="1">
      <c r="A398" s="66" t="s">
        <v>293</v>
      </c>
      <c r="B398" s="2">
        <v>2018</v>
      </c>
      <c r="C398" s="1" t="s">
        <v>13</v>
      </c>
      <c r="D398" s="1" t="s">
        <v>414</v>
      </c>
      <c r="E398" s="1" t="s">
        <v>43</v>
      </c>
      <c r="F398" s="1" t="s">
        <v>294</v>
      </c>
      <c r="G398" s="2">
        <v>2012</v>
      </c>
      <c r="H398" s="1" t="s">
        <v>22</v>
      </c>
      <c r="I398" s="1" t="s">
        <v>101</v>
      </c>
      <c r="J398" s="1" t="s">
        <v>23</v>
      </c>
      <c r="K398" s="3" t="s">
        <v>28</v>
      </c>
      <c r="L398" s="1" t="s">
        <v>10</v>
      </c>
      <c r="M398" s="1" t="s">
        <v>10</v>
      </c>
      <c r="N398" s="5" t="s">
        <v>10</v>
      </c>
      <c r="O398" s="4"/>
      <c r="P398" s="4"/>
      <c r="Q398" s="5">
        <v>9.4</v>
      </c>
      <c r="R398" s="2">
        <v>110</v>
      </c>
      <c r="HZ398" s="34"/>
    </row>
    <row r="399" spans="1:234" ht="15" customHeight="1">
      <c r="A399" s="66" t="s">
        <v>293</v>
      </c>
      <c r="B399" s="2">
        <v>2018</v>
      </c>
      <c r="C399" s="1" t="s">
        <v>13</v>
      </c>
      <c r="D399" s="1" t="s">
        <v>414</v>
      </c>
      <c r="E399" s="1" t="s">
        <v>43</v>
      </c>
      <c r="F399" s="1" t="s">
        <v>294</v>
      </c>
      <c r="G399" s="2">
        <v>2012</v>
      </c>
      <c r="H399" s="1" t="s">
        <v>22</v>
      </c>
      <c r="I399" s="1" t="s">
        <v>101</v>
      </c>
      <c r="J399" s="1" t="s">
        <v>23</v>
      </c>
      <c r="K399" s="3" t="s">
        <v>72</v>
      </c>
      <c r="L399" s="1" t="s">
        <v>10</v>
      </c>
      <c r="M399" s="1" t="s">
        <v>10</v>
      </c>
      <c r="N399" s="5" t="s">
        <v>10</v>
      </c>
      <c r="O399" s="4"/>
      <c r="P399" s="4"/>
      <c r="Q399" s="5">
        <v>11.4</v>
      </c>
      <c r="R399" s="2">
        <v>110</v>
      </c>
      <c r="HZ399" s="34"/>
    </row>
    <row r="400" spans="1:234" ht="15" customHeight="1">
      <c r="A400" s="66" t="s">
        <v>293</v>
      </c>
      <c r="B400" s="2">
        <v>2018</v>
      </c>
      <c r="C400" s="1" t="s">
        <v>13</v>
      </c>
      <c r="D400" s="1" t="s">
        <v>414</v>
      </c>
      <c r="E400" s="1" t="s">
        <v>43</v>
      </c>
      <c r="F400" s="1" t="s">
        <v>294</v>
      </c>
      <c r="G400" s="2">
        <v>2012</v>
      </c>
      <c r="H400" s="1" t="s">
        <v>22</v>
      </c>
      <c r="I400" s="1" t="s">
        <v>101</v>
      </c>
      <c r="J400" s="1" t="s">
        <v>23</v>
      </c>
      <c r="K400" s="3" t="s">
        <v>73</v>
      </c>
      <c r="L400" s="1" t="s">
        <v>10</v>
      </c>
      <c r="M400" s="1" t="s">
        <v>10</v>
      </c>
      <c r="N400" s="5" t="s">
        <v>10</v>
      </c>
      <c r="O400" s="4"/>
      <c r="P400" s="4"/>
      <c r="Q400" s="5">
        <v>19.8</v>
      </c>
      <c r="R400" s="2">
        <v>110</v>
      </c>
      <c r="HZ400" s="34"/>
    </row>
    <row r="401" spans="1:234" ht="15" customHeight="1">
      <c r="A401" s="66" t="s">
        <v>293</v>
      </c>
      <c r="B401" s="2">
        <v>2018</v>
      </c>
      <c r="C401" s="1" t="s">
        <v>13</v>
      </c>
      <c r="D401" s="1" t="s">
        <v>414</v>
      </c>
      <c r="E401" s="1" t="s">
        <v>43</v>
      </c>
      <c r="F401" s="1" t="s">
        <v>294</v>
      </c>
      <c r="G401" s="2">
        <v>2012</v>
      </c>
      <c r="H401" s="1" t="s">
        <v>22</v>
      </c>
      <c r="I401" s="1" t="s">
        <v>101</v>
      </c>
      <c r="J401" s="1" t="s">
        <v>11</v>
      </c>
      <c r="K401" s="3" t="s">
        <v>295</v>
      </c>
      <c r="L401" s="1" t="s">
        <v>10</v>
      </c>
      <c r="M401" s="1" t="s">
        <v>10</v>
      </c>
      <c r="N401" s="5" t="s">
        <v>10</v>
      </c>
      <c r="O401" s="4">
        <v>31507732</v>
      </c>
      <c r="P401" s="4">
        <v>3841422</v>
      </c>
      <c r="Q401" s="5">
        <v>12.2</v>
      </c>
      <c r="R401" s="2">
        <v>110</v>
      </c>
      <c r="HZ401" s="34"/>
    </row>
    <row r="402" spans="1:234" ht="15" customHeight="1">
      <c r="A402" s="66" t="s">
        <v>293</v>
      </c>
      <c r="B402" s="2">
        <v>2018</v>
      </c>
      <c r="C402" s="1" t="s">
        <v>13</v>
      </c>
      <c r="D402" s="1" t="s">
        <v>414</v>
      </c>
      <c r="E402" s="1" t="s">
        <v>43</v>
      </c>
      <c r="F402" s="1" t="s">
        <v>294</v>
      </c>
      <c r="G402" s="2">
        <v>2012</v>
      </c>
      <c r="H402" s="1" t="s">
        <v>22</v>
      </c>
      <c r="I402" s="1" t="s">
        <v>101</v>
      </c>
      <c r="J402" s="1" t="s">
        <v>11</v>
      </c>
      <c r="K402" s="3" t="s">
        <v>24</v>
      </c>
      <c r="L402" s="1" t="s">
        <v>10</v>
      </c>
      <c r="M402" s="1" t="s">
        <v>10</v>
      </c>
      <c r="N402" s="5" t="s">
        <v>10</v>
      </c>
      <c r="O402" s="4"/>
      <c r="P402" s="4"/>
      <c r="Q402" s="5">
        <v>2.8</v>
      </c>
      <c r="R402" s="2">
        <v>110</v>
      </c>
      <c r="HZ402" s="34"/>
    </row>
    <row r="403" spans="1:234" ht="15" customHeight="1">
      <c r="A403" s="66" t="s">
        <v>293</v>
      </c>
      <c r="B403" s="2">
        <v>2018</v>
      </c>
      <c r="C403" s="1" t="s">
        <v>13</v>
      </c>
      <c r="D403" s="1" t="s">
        <v>414</v>
      </c>
      <c r="E403" s="1" t="s">
        <v>43</v>
      </c>
      <c r="F403" s="1" t="s">
        <v>294</v>
      </c>
      <c r="G403" s="2">
        <v>2012</v>
      </c>
      <c r="H403" s="1" t="s">
        <v>22</v>
      </c>
      <c r="I403" s="1" t="s">
        <v>101</v>
      </c>
      <c r="J403" s="1" t="s">
        <v>11</v>
      </c>
      <c r="K403" s="3" t="s">
        <v>25</v>
      </c>
      <c r="L403" s="1" t="s">
        <v>10</v>
      </c>
      <c r="M403" s="1" t="s">
        <v>10</v>
      </c>
      <c r="N403" s="5" t="s">
        <v>10</v>
      </c>
      <c r="O403" s="4"/>
      <c r="P403" s="4"/>
      <c r="Q403" s="5">
        <v>4.2</v>
      </c>
      <c r="R403" s="2">
        <v>110</v>
      </c>
      <c r="HZ403" s="34"/>
    </row>
    <row r="404" spans="1:234" ht="15" customHeight="1">
      <c r="A404" s="66" t="s">
        <v>293</v>
      </c>
      <c r="B404" s="2">
        <v>2018</v>
      </c>
      <c r="C404" s="1" t="s">
        <v>13</v>
      </c>
      <c r="D404" s="1" t="s">
        <v>414</v>
      </c>
      <c r="E404" s="1" t="s">
        <v>43</v>
      </c>
      <c r="F404" s="1" t="s">
        <v>294</v>
      </c>
      <c r="G404" s="2">
        <v>2012</v>
      </c>
      <c r="H404" s="1" t="s">
        <v>22</v>
      </c>
      <c r="I404" s="1" t="s">
        <v>101</v>
      </c>
      <c r="J404" s="1" t="s">
        <v>11</v>
      </c>
      <c r="K404" s="3" t="s">
        <v>26</v>
      </c>
      <c r="L404" s="1" t="s">
        <v>10</v>
      </c>
      <c r="M404" s="1" t="s">
        <v>10</v>
      </c>
      <c r="N404" s="5" t="s">
        <v>10</v>
      </c>
      <c r="O404" s="4"/>
      <c r="P404" s="4"/>
      <c r="Q404" s="5">
        <v>9.9</v>
      </c>
      <c r="R404" s="2">
        <v>110</v>
      </c>
      <c r="HZ404" s="34"/>
    </row>
    <row r="405" spans="1:234" ht="15" customHeight="1">
      <c r="A405" s="66" t="s">
        <v>293</v>
      </c>
      <c r="B405" s="2">
        <v>2018</v>
      </c>
      <c r="C405" s="1" t="s">
        <v>13</v>
      </c>
      <c r="D405" s="1" t="s">
        <v>414</v>
      </c>
      <c r="E405" s="1" t="s">
        <v>43</v>
      </c>
      <c r="F405" s="1" t="s">
        <v>294</v>
      </c>
      <c r="G405" s="2">
        <v>2012</v>
      </c>
      <c r="H405" s="1" t="s">
        <v>22</v>
      </c>
      <c r="I405" s="1" t="s">
        <v>101</v>
      </c>
      <c r="J405" s="1" t="s">
        <v>11</v>
      </c>
      <c r="K405" s="3" t="s">
        <v>27</v>
      </c>
      <c r="L405" s="1" t="s">
        <v>10</v>
      </c>
      <c r="M405" s="1" t="s">
        <v>10</v>
      </c>
      <c r="N405" s="5" t="s">
        <v>10</v>
      </c>
      <c r="O405" s="4"/>
      <c r="P405" s="4"/>
      <c r="Q405" s="5">
        <v>14.2</v>
      </c>
      <c r="R405" s="2">
        <v>110</v>
      </c>
      <c r="HZ405" s="34"/>
    </row>
    <row r="406" spans="1:234" ht="15" customHeight="1">
      <c r="A406" s="66" t="s">
        <v>293</v>
      </c>
      <c r="B406" s="2">
        <v>2018</v>
      </c>
      <c r="C406" s="1" t="s">
        <v>13</v>
      </c>
      <c r="D406" s="1" t="s">
        <v>414</v>
      </c>
      <c r="E406" s="1" t="s">
        <v>43</v>
      </c>
      <c r="F406" s="1" t="s">
        <v>294</v>
      </c>
      <c r="G406" s="2">
        <v>2012</v>
      </c>
      <c r="H406" s="1" t="s">
        <v>22</v>
      </c>
      <c r="I406" s="1" t="s">
        <v>101</v>
      </c>
      <c r="J406" s="1" t="s">
        <v>11</v>
      </c>
      <c r="K406" s="3" t="s">
        <v>28</v>
      </c>
      <c r="L406" s="1" t="s">
        <v>10</v>
      </c>
      <c r="M406" s="1" t="s">
        <v>10</v>
      </c>
      <c r="N406" s="5" t="s">
        <v>10</v>
      </c>
      <c r="O406" s="4"/>
      <c r="P406" s="4"/>
      <c r="Q406" s="5">
        <v>16.7</v>
      </c>
      <c r="R406" s="2">
        <v>110</v>
      </c>
      <c r="HZ406" s="34"/>
    </row>
    <row r="407" spans="1:234" ht="15" customHeight="1">
      <c r="A407" s="66" t="s">
        <v>293</v>
      </c>
      <c r="B407" s="2">
        <v>2018</v>
      </c>
      <c r="C407" s="1" t="s">
        <v>13</v>
      </c>
      <c r="D407" s="1" t="s">
        <v>414</v>
      </c>
      <c r="E407" s="1" t="s">
        <v>43</v>
      </c>
      <c r="F407" s="1" t="s">
        <v>294</v>
      </c>
      <c r="G407" s="2">
        <v>2012</v>
      </c>
      <c r="H407" s="1" t="s">
        <v>22</v>
      </c>
      <c r="I407" s="1" t="s">
        <v>101</v>
      </c>
      <c r="J407" s="1" t="s">
        <v>11</v>
      </c>
      <c r="K407" s="3" t="s">
        <v>72</v>
      </c>
      <c r="L407" s="1" t="s">
        <v>10</v>
      </c>
      <c r="M407" s="1" t="s">
        <v>10</v>
      </c>
      <c r="N407" s="5" t="s">
        <v>10</v>
      </c>
      <c r="O407" s="4"/>
      <c r="P407" s="4"/>
      <c r="Q407" s="5">
        <v>18.7</v>
      </c>
      <c r="R407" s="2">
        <v>110</v>
      </c>
      <c r="HZ407" s="34"/>
    </row>
    <row r="408" spans="1:234" ht="15" customHeight="1">
      <c r="A408" s="66" t="s">
        <v>293</v>
      </c>
      <c r="B408" s="2">
        <v>2018</v>
      </c>
      <c r="C408" s="1" t="s">
        <v>13</v>
      </c>
      <c r="D408" s="1" t="s">
        <v>414</v>
      </c>
      <c r="E408" s="1" t="s">
        <v>43</v>
      </c>
      <c r="F408" s="1" t="s">
        <v>294</v>
      </c>
      <c r="G408" s="2">
        <v>2012</v>
      </c>
      <c r="H408" s="1" t="s">
        <v>22</v>
      </c>
      <c r="I408" s="1" t="s">
        <v>101</v>
      </c>
      <c r="J408" s="1" t="s">
        <v>11</v>
      </c>
      <c r="K408" s="3" t="s">
        <v>73</v>
      </c>
      <c r="L408" s="1" t="s">
        <v>10</v>
      </c>
      <c r="M408" s="1" t="s">
        <v>10</v>
      </c>
      <c r="N408" s="5" t="s">
        <v>10</v>
      </c>
      <c r="O408" s="4"/>
      <c r="P408" s="4"/>
      <c r="Q408" s="5">
        <v>28.3</v>
      </c>
      <c r="R408" s="2">
        <v>110</v>
      </c>
      <c r="HZ408" s="34"/>
    </row>
    <row r="409" spans="1:234" ht="15" customHeight="1">
      <c r="A409" s="66" t="s">
        <v>369</v>
      </c>
      <c r="B409" s="2">
        <v>2014</v>
      </c>
      <c r="C409" s="1" t="s">
        <v>13</v>
      </c>
      <c r="D409" s="1" t="s">
        <v>610</v>
      </c>
      <c r="E409" s="1" t="s">
        <v>67</v>
      </c>
      <c r="F409" s="1" t="s">
        <v>123</v>
      </c>
      <c r="G409" s="1" t="s">
        <v>370</v>
      </c>
      <c r="H409" s="1" t="s">
        <v>125</v>
      </c>
      <c r="I409" s="1" t="s">
        <v>84</v>
      </c>
      <c r="J409" s="1" t="s">
        <v>11</v>
      </c>
      <c r="K409" s="3" t="s">
        <v>371</v>
      </c>
      <c r="L409" s="1" t="s">
        <v>372</v>
      </c>
      <c r="M409" s="4">
        <f>Table1[[#This Row],[% HSV-1 infection]]*Table1[[#This Row],[N tested for HSV-1 Ab]]/100</f>
        <v>14801.22</v>
      </c>
      <c r="N409" s="5">
        <v>51</v>
      </c>
      <c r="O409" s="4">
        <v>29022</v>
      </c>
      <c r="P409" s="4">
        <f>Table1[[#This Row],[% HSV-2 infection]]*Table1[[#This Row],[N tested for HSV-2 Ab]]/100</f>
        <v>3192.42</v>
      </c>
      <c r="Q409" s="5">
        <v>11</v>
      </c>
      <c r="R409" s="2">
        <v>111</v>
      </c>
      <c r="HZ409" s="34"/>
    </row>
    <row r="410" spans="1:234" ht="15" customHeight="1">
      <c r="A410" s="66" t="s">
        <v>369</v>
      </c>
      <c r="B410" s="2">
        <v>2014</v>
      </c>
      <c r="C410" s="1" t="s">
        <v>13</v>
      </c>
      <c r="D410" s="1" t="s">
        <v>610</v>
      </c>
      <c r="E410" s="1" t="s">
        <v>67</v>
      </c>
      <c r="F410" s="1" t="s">
        <v>123</v>
      </c>
      <c r="G410" s="1" t="s">
        <v>370</v>
      </c>
      <c r="H410" s="1" t="s">
        <v>125</v>
      </c>
      <c r="I410" s="1" t="s">
        <v>84</v>
      </c>
      <c r="J410" s="1" t="s">
        <v>11</v>
      </c>
      <c r="K410" s="3" t="s">
        <v>371</v>
      </c>
      <c r="L410" s="1" t="s">
        <v>372</v>
      </c>
      <c r="M410" s="4">
        <f>Table1[[#This Row],[% HSV-1 infection]]*Table1[[#This Row],[N tested for HSV-1 Ab]]/100</f>
        <v>14801.22</v>
      </c>
      <c r="N410" s="5">
        <v>51</v>
      </c>
      <c r="O410" s="4">
        <v>29022</v>
      </c>
      <c r="P410" s="4">
        <f>Table1[[#This Row],[% HSV-2 infection]]*Table1[[#This Row],[N tested for HSV-2 Ab]]/100</f>
        <v>3192.42</v>
      </c>
      <c r="Q410" s="5">
        <v>11</v>
      </c>
      <c r="R410" s="2">
        <v>111</v>
      </c>
      <c r="HZ410" s="34"/>
    </row>
    <row r="411" spans="1:234" ht="15" customHeight="1">
      <c r="A411" s="66" t="s">
        <v>369</v>
      </c>
      <c r="B411" s="2">
        <v>2014</v>
      </c>
      <c r="C411" s="1" t="s">
        <v>13</v>
      </c>
      <c r="D411" s="1" t="s">
        <v>610</v>
      </c>
      <c r="E411" s="1" t="s">
        <v>67</v>
      </c>
      <c r="F411" s="1" t="s">
        <v>123</v>
      </c>
      <c r="G411" s="1" t="s">
        <v>370</v>
      </c>
      <c r="H411" s="1" t="s">
        <v>125</v>
      </c>
      <c r="I411" s="1" t="s">
        <v>84</v>
      </c>
      <c r="J411" s="1" t="s">
        <v>11</v>
      </c>
      <c r="K411" s="3" t="s">
        <v>373</v>
      </c>
      <c r="L411" s="1" t="s">
        <v>374</v>
      </c>
      <c r="M411" s="4">
        <f>Table1[[#This Row],[N tested for HSV-1 Ab]]*(44.9+1.8)/100</f>
        <v>1536.43</v>
      </c>
      <c r="N411" s="5">
        <f>Table1[[#This Row],[N HSV-1 Ab+]]*100/Table1[[#This Row],[N tested for HSV-1 Ab]]</f>
        <v>46.7</v>
      </c>
      <c r="O411" s="1" t="s">
        <v>374</v>
      </c>
      <c r="P411" s="4">
        <f>Table1[[#This Row],[N tested for HSV-2 Ab]]*(1.7+1.8)/100</f>
        <v>115.15</v>
      </c>
      <c r="Q411" s="5">
        <f>Table1[[#This Row],[N HSV-2 Ab+]]*100/Table1[[#This Row],[N tested for HSV-2 Ab]]</f>
        <v>3.5</v>
      </c>
      <c r="R411" s="2">
        <v>111</v>
      </c>
      <c r="HZ411" s="34"/>
    </row>
    <row r="412" spans="1:234" ht="15" customHeight="1">
      <c r="A412" s="66" t="s">
        <v>369</v>
      </c>
      <c r="B412" s="2">
        <v>2014</v>
      </c>
      <c r="C412" s="1" t="s">
        <v>13</v>
      </c>
      <c r="D412" s="1" t="s">
        <v>610</v>
      </c>
      <c r="E412" s="1" t="s">
        <v>67</v>
      </c>
      <c r="F412" s="1" t="s">
        <v>123</v>
      </c>
      <c r="G412" s="1" t="s">
        <v>370</v>
      </c>
      <c r="H412" s="1" t="s">
        <v>125</v>
      </c>
      <c r="I412" s="1" t="s">
        <v>84</v>
      </c>
      <c r="J412" s="1" t="s">
        <v>11</v>
      </c>
      <c r="K412" s="25" t="s">
        <v>430</v>
      </c>
      <c r="L412" s="1" t="s">
        <v>375</v>
      </c>
      <c r="M412" s="4">
        <f>Table1[[#This Row],[N tested for HSV-1 Ab]]*(43.6+2.8)/100</f>
        <v>1681.5360000000001</v>
      </c>
      <c r="N412" s="5">
        <f>Table1[[#This Row],[N HSV-1 Ab+]]*100/Table1[[#This Row],[N tested for HSV-1 Ab]]</f>
        <v>46.4</v>
      </c>
      <c r="O412" s="1" t="s">
        <v>375</v>
      </c>
      <c r="P412" s="4">
        <f>Table1[[#This Row],[N tested for HSV-2 Ab]]*(2.2+2.8)/100</f>
        <v>181.2</v>
      </c>
      <c r="Q412" s="5">
        <f>Table1[[#This Row],[N HSV-2 Ab+]]*100/Table1[[#This Row],[N tested for HSV-2 Ab]]</f>
        <v>5</v>
      </c>
      <c r="R412" s="2">
        <v>111</v>
      </c>
      <c r="HZ412" s="34"/>
    </row>
    <row r="413" spans="1:234" ht="15" customHeight="1">
      <c r="A413" s="66" t="s">
        <v>369</v>
      </c>
      <c r="B413" s="2">
        <v>2014</v>
      </c>
      <c r="C413" s="1" t="s">
        <v>13</v>
      </c>
      <c r="D413" s="1" t="s">
        <v>610</v>
      </c>
      <c r="E413" s="1" t="s">
        <v>67</v>
      </c>
      <c r="F413" s="1" t="s">
        <v>123</v>
      </c>
      <c r="G413" s="1" t="s">
        <v>370</v>
      </c>
      <c r="H413" s="1" t="s">
        <v>125</v>
      </c>
      <c r="I413" s="1" t="s">
        <v>84</v>
      </c>
      <c r="J413" s="1" t="s">
        <v>11</v>
      </c>
      <c r="K413" s="25" t="s">
        <v>421</v>
      </c>
      <c r="L413" s="1" t="s">
        <v>376</v>
      </c>
      <c r="M413" s="4">
        <f>Table1[[#This Row],[N tested for HSV-1 Ab]]*(44.4+4)/100</f>
        <v>1567.1919999999998</v>
      </c>
      <c r="N413" s="5">
        <f>Table1[[#This Row],[N HSV-1 Ab+]]*100/Table1[[#This Row],[N tested for HSV-1 Ab]]</f>
        <v>48.399999999999991</v>
      </c>
      <c r="O413" s="1" t="s">
        <v>376</v>
      </c>
      <c r="P413" s="4">
        <f>Table1[[#This Row],[N tested for HSV-2 Ab]]*(3.2+4)/100</f>
        <v>233.13600000000002</v>
      </c>
      <c r="Q413" s="5">
        <f>Table1[[#This Row],[N HSV-2 Ab+]]*100/Table1[[#This Row],[N tested for HSV-2 Ab]]</f>
        <v>7.2000000000000011</v>
      </c>
      <c r="R413" s="2">
        <v>111</v>
      </c>
      <c r="HZ413" s="34"/>
    </row>
    <row r="414" spans="1:234" ht="15" customHeight="1">
      <c r="A414" s="66" t="s">
        <v>369</v>
      </c>
      <c r="B414" s="2">
        <v>2014</v>
      </c>
      <c r="C414" s="1" t="s">
        <v>13</v>
      </c>
      <c r="D414" s="1" t="s">
        <v>610</v>
      </c>
      <c r="E414" s="1" t="s">
        <v>67</v>
      </c>
      <c r="F414" s="1" t="s">
        <v>123</v>
      </c>
      <c r="G414" s="1" t="s">
        <v>370</v>
      </c>
      <c r="H414" s="1" t="s">
        <v>125</v>
      </c>
      <c r="I414" s="1" t="s">
        <v>84</v>
      </c>
      <c r="J414" s="1" t="s">
        <v>11</v>
      </c>
      <c r="K414" s="25" t="s">
        <v>425</v>
      </c>
      <c r="L414" s="1" t="s">
        <v>377</v>
      </c>
      <c r="M414" s="4">
        <f>Table1[[#This Row],[N tested for HSV-1 Ab]]*(46.4+4.8)/100</f>
        <v>1478.6559999999997</v>
      </c>
      <c r="N414" s="5">
        <f>Table1[[#This Row],[N HSV-1 Ab+]]*100/Table1[[#This Row],[N tested for HSV-1 Ab]]</f>
        <v>51.199999999999989</v>
      </c>
      <c r="O414" s="1" t="s">
        <v>377</v>
      </c>
      <c r="P414" s="4">
        <f>Table1[[#This Row],[N tested for HSV-2 Ab]]*(3.9+4.8)/100</f>
        <v>251.25599999999997</v>
      </c>
      <c r="Q414" s="5">
        <f>Table1[[#This Row],[N HSV-2 Ab+]]*100/Table1[[#This Row],[N tested for HSV-2 Ab]]</f>
        <v>8.6999999999999993</v>
      </c>
      <c r="R414" s="2">
        <v>111</v>
      </c>
      <c r="HZ414" s="34"/>
    </row>
    <row r="415" spans="1:234" ht="15" customHeight="1">
      <c r="A415" s="66" t="s">
        <v>369</v>
      </c>
      <c r="B415" s="2">
        <v>2014</v>
      </c>
      <c r="C415" s="1" t="s">
        <v>13</v>
      </c>
      <c r="D415" s="1" t="s">
        <v>610</v>
      </c>
      <c r="E415" s="1" t="s">
        <v>67</v>
      </c>
      <c r="F415" s="1" t="s">
        <v>123</v>
      </c>
      <c r="G415" s="1" t="s">
        <v>370</v>
      </c>
      <c r="H415" s="1" t="s">
        <v>125</v>
      </c>
      <c r="I415" s="1" t="s">
        <v>84</v>
      </c>
      <c r="J415" s="1" t="s">
        <v>11</v>
      </c>
      <c r="K415" s="25" t="s">
        <v>422</v>
      </c>
      <c r="L415" s="1" t="s">
        <v>378</v>
      </c>
      <c r="M415" s="4">
        <f>Table1[[#This Row],[N tested for HSV-1 Ab]]*(46.8+5.6)/100</f>
        <v>1422.66</v>
      </c>
      <c r="N415" s="5">
        <f>Table1[[#This Row],[N HSV-1 Ab+]]*100/Table1[[#This Row],[N tested for HSV-1 Ab]]</f>
        <v>52.4</v>
      </c>
      <c r="O415" s="1" t="s">
        <v>378</v>
      </c>
      <c r="P415" s="4">
        <f>Table1[[#This Row],[N tested for HSV-2 Ab]]*(4.9+5.6)/100</f>
        <v>285.07499999999999</v>
      </c>
      <c r="Q415" s="5">
        <f>Table1[[#This Row],[N HSV-2 Ab+]]*100/Table1[[#This Row],[N tested for HSV-2 Ab]]</f>
        <v>10.5</v>
      </c>
      <c r="R415" s="2">
        <v>111</v>
      </c>
      <c r="HZ415" s="34"/>
    </row>
    <row r="416" spans="1:234" ht="15" customHeight="1">
      <c r="A416" s="66" t="s">
        <v>369</v>
      </c>
      <c r="B416" s="2">
        <v>2014</v>
      </c>
      <c r="C416" s="1" t="s">
        <v>13</v>
      </c>
      <c r="D416" s="1" t="s">
        <v>610</v>
      </c>
      <c r="E416" s="1" t="s">
        <v>67</v>
      </c>
      <c r="F416" s="1" t="s">
        <v>123</v>
      </c>
      <c r="G416" s="1" t="s">
        <v>370</v>
      </c>
      <c r="H416" s="1" t="s">
        <v>125</v>
      </c>
      <c r="I416" s="1" t="s">
        <v>84</v>
      </c>
      <c r="J416" s="1" t="s">
        <v>11</v>
      </c>
      <c r="K416" s="25" t="s">
        <v>423</v>
      </c>
      <c r="L416" s="1" t="s">
        <v>379</v>
      </c>
      <c r="M416" s="4">
        <f>Table1[[#This Row],[N tested for HSV-1 Ab]]*(46.2+7)/100</f>
        <v>1403.9480000000001</v>
      </c>
      <c r="N416" s="5">
        <f>Table1[[#This Row],[N HSV-1 Ab+]]*100/Table1[[#This Row],[N tested for HSV-1 Ab]]</f>
        <v>53.20000000000001</v>
      </c>
      <c r="O416" s="1" t="s">
        <v>379</v>
      </c>
      <c r="P416" s="4">
        <f>Table1[[#This Row],[N tested for HSV-2 Ab]]*(5.2+7)/100</f>
        <v>321.95799999999997</v>
      </c>
      <c r="Q416" s="5">
        <f>Table1[[#This Row],[N HSV-2 Ab+]]*100/Table1[[#This Row],[N tested for HSV-2 Ab]]</f>
        <v>12.199999999999998</v>
      </c>
      <c r="R416" s="2">
        <v>111</v>
      </c>
      <c r="HZ416" s="34"/>
    </row>
    <row r="417" spans="1:234" ht="15" customHeight="1">
      <c r="A417" s="66" t="s">
        <v>369</v>
      </c>
      <c r="B417" s="2">
        <v>2014</v>
      </c>
      <c r="C417" s="1" t="s">
        <v>13</v>
      </c>
      <c r="D417" s="1" t="s">
        <v>610</v>
      </c>
      <c r="E417" s="1" t="s">
        <v>67</v>
      </c>
      <c r="F417" s="1" t="s">
        <v>123</v>
      </c>
      <c r="G417" s="1" t="s">
        <v>370</v>
      </c>
      <c r="H417" s="1" t="s">
        <v>125</v>
      </c>
      <c r="I417" s="1" t="s">
        <v>84</v>
      </c>
      <c r="J417" s="1" t="s">
        <v>11</v>
      </c>
      <c r="K417" s="25" t="s">
        <v>424</v>
      </c>
      <c r="L417" s="1" t="s">
        <v>380</v>
      </c>
      <c r="M417" s="4">
        <f>Table1[[#This Row],[N tested for HSV-1 Ab]]*(44.6+7.6)/100</f>
        <v>1202.1660000000002</v>
      </c>
      <c r="N417" s="5">
        <f>Table1[[#This Row],[N HSV-1 Ab+]]*100/Table1[[#This Row],[N tested for HSV-1 Ab]]</f>
        <v>52.20000000000001</v>
      </c>
      <c r="O417" s="1" t="s">
        <v>380</v>
      </c>
      <c r="P417" s="4">
        <f>Table1[[#This Row],[N tested for HSV-2 Ab]]*(5.5+7.6)/100</f>
        <v>301.69299999999998</v>
      </c>
      <c r="Q417" s="5">
        <f>Table1[[#This Row],[N HSV-2 Ab+]]*100/Table1[[#This Row],[N tested for HSV-2 Ab]]</f>
        <v>13.1</v>
      </c>
      <c r="R417" s="2">
        <v>111</v>
      </c>
      <c r="HZ417" s="34"/>
    </row>
    <row r="418" spans="1:234" ht="15" customHeight="1">
      <c r="A418" s="66" t="s">
        <v>369</v>
      </c>
      <c r="B418" s="2">
        <v>2014</v>
      </c>
      <c r="C418" s="1" t="s">
        <v>13</v>
      </c>
      <c r="D418" s="1" t="s">
        <v>610</v>
      </c>
      <c r="E418" s="1" t="s">
        <v>67</v>
      </c>
      <c r="F418" s="1" t="s">
        <v>123</v>
      </c>
      <c r="G418" s="1" t="s">
        <v>370</v>
      </c>
      <c r="H418" s="1" t="s">
        <v>125</v>
      </c>
      <c r="I418" s="1" t="s">
        <v>84</v>
      </c>
      <c r="J418" s="1" t="s">
        <v>11</v>
      </c>
      <c r="K418" s="25" t="s">
        <v>426</v>
      </c>
      <c r="L418" s="1" t="s">
        <v>381</v>
      </c>
      <c r="M418" s="4">
        <f>Table1[[#This Row],[N tested for HSV-1 Ab]]*(47.9+7.3)/100</f>
        <v>1080.2639999999999</v>
      </c>
      <c r="N418" s="5">
        <f>Table1[[#This Row],[N HSV-1 Ab+]]*100/Table1[[#This Row],[N tested for HSV-1 Ab]]</f>
        <v>55.199999999999996</v>
      </c>
      <c r="O418" s="1" t="s">
        <v>381</v>
      </c>
      <c r="P418" s="4">
        <f>Table1[[#This Row],[N tested for HSV-2 Ab]]*(5.6+7.3)/100</f>
        <v>252.45299999999995</v>
      </c>
      <c r="Q418" s="5">
        <f>Table1[[#This Row],[N HSV-2 Ab+]]*100/Table1[[#This Row],[N tested for HSV-2 Ab]]</f>
        <v>12.899999999999999</v>
      </c>
      <c r="R418" s="2">
        <v>111</v>
      </c>
      <c r="HZ418" s="34"/>
    </row>
    <row r="419" spans="1:234" ht="15" customHeight="1">
      <c r="A419" s="66" t="s">
        <v>369</v>
      </c>
      <c r="B419" s="2">
        <v>2014</v>
      </c>
      <c r="C419" s="1" t="s">
        <v>13</v>
      </c>
      <c r="D419" s="1" t="s">
        <v>610</v>
      </c>
      <c r="E419" s="1" t="s">
        <v>67</v>
      </c>
      <c r="F419" s="1" t="s">
        <v>123</v>
      </c>
      <c r="G419" s="1" t="s">
        <v>370</v>
      </c>
      <c r="H419" s="1" t="s">
        <v>125</v>
      </c>
      <c r="I419" s="1" t="s">
        <v>84</v>
      </c>
      <c r="J419" s="1" t="s">
        <v>11</v>
      </c>
      <c r="K419" s="25" t="s">
        <v>427</v>
      </c>
      <c r="L419" s="1" t="s">
        <v>382</v>
      </c>
      <c r="M419" s="4">
        <f>Table1[[#This Row],[N tested for HSV-1 Ab]]*(45.2+9)/100</f>
        <v>895.38400000000013</v>
      </c>
      <c r="N419" s="5">
        <f>Table1[[#This Row],[N HSV-1 Ab+]]*100/Table1[[#This Row],[N tested for HSV-1 Ab]]</f>
        <v>54.2</v>
      </c>
      <c r="O419" s="1" t="s">
        <v>382</v>
      </c>
      <c r="P419" s="4">
        <f>Table1[[#This Row],[N tested for HSV-2 Ab]]*(6.7+9)/100</f>
        <v>259.36399999999998</v>
      </c>
      <c r="Q419" s="5">
        <f>Table1[[#This Row],[N HSV-2 Ab+]]*100/Table1[[#This Row],[N tested for HSV-2 Ab]]</f>
        <v>15.7</v>
      </c>
      <c r="R419" s="2">
        <v>111</v>
      </c>
      <c r="HZ419" s="34"/>
    </row>
    <row r="420" spans="1:234" ht="15" customHeight="1">
      <c r="A420" s="66" t="s">
        <v>369</v>
      </c>
      <c r="B420" s="2">
        <v>2014</v>
      </c>
      <c r="C420" s="1" t="s">
        <v>13</v>
      </c>
      <c r="D420" s="1" t="s">
        <v>610</v>
      </c>
      <c r="E420" s="1" t="s">
        <v>67</v>
      </c>
      <c r="F420" s="1" t="s">
        <v>123</v>
      </c>
      <c r="G420" s="1" t="s">
        <v>370</v>
      </c>
      <c r="H420" s="1" t="s">
        <v>125</v>
      </c>
      <c r="I420" s="1" t="s">
        <v>84</v>
      </c>
      <c r="J420" s="1" t="s">
        <v>11</v>
      </c>
      <c r="K420" s="25" t="s">
        <v>420</v>
      </c>
      <c r="L420" s="1" t="s">
        <v>383</v>
      </c>
      <c r="M420" s="4">
        <f>Table1[[#This Row],[N tested for HSV-1 Ab]]*(46+13.3)/100</f>
        <v>885.94200000000001</v>
      </c>
      <c r="N420" s="5">
        <f>Table1[[#This Row],[N HSV-1 Ab+]]*100/Table1[[#This Row],[N tested for HSV-1 Ab]]</f>
        <v>59.3</v>
      </c>
      <c r="O420" s="1" t="s">
        <v>383</v>
      </c>
      <c r="P420" s="4">
        <f>Table1[[#This Row],[N tested for HSV-2 Ab]]*(7.1+13.3)/100</f>
        <v>304.77600000000001</v>
      </c>
      <c r="Q420" s="5">
        <f>Table1[[#This Row],[N HSV-2 Ab+]]*100/Table1[[#This Row],[N tested for HSV-2 Ab]]</f>
        <v>20.400000000000002</v>
      </c>
      <c r="R420" s="2">
        <v>111</v>
      </c>
      <c r="HZ420" s="34"/>
    </row>
    <row r="421" spans="1:234" ht="15" customHeight="1">
      <c r="A421" s="66" t="s">
        <v>369</v>
      </c>
      <c r="B421" s="2">
        <v>2014</v>
      </c>
      <c r="C421" s="1" t="s">
        <v>13</v>
      </c>
      <c r="D421" s="1" t="s">
        <v>610</v>
      </c>
      <c r="E421" s="1" t="s">
        <v>67</v>
      </c>
      <c r="F421" s="1" t="s">
        <v>123</v>
      </c>
      <c r="G421" s="1" t="s">
        <v>370</v>
      </c>
      <c r="H421" s="1" t="s">
        <v>125</v>
      </c>
      <c r="I421" s="1" t="s">
        <v>84</v>
      </c>
      <c r="J421" s="1" t="s">
        <v>11</v>
      </c>
      <c r="K421" s="25" t="s">
        <v>428</v>
      </c>
      <c r="L421" s="1" t="s">
        <v>384</v>
      </c>
      <c r="M421" s="4">
        <f>Table1[[#This Row],[N tested for HSV-1 Ab]]*(44.8+13.8)/100</f>
        <v>750.08</v>
      </c>
      <c r="N421" s="5">
        <f>Table1[[#This Row],[N HSV-1 Ab+]]*100/Table1[[#This Row],[N tested for HSV-1 Ab]]</f>
        <v>58.6</v>
      </c>
      <c r="O421" s="1" t="s">
        <v>384</v>
      </c>
      <c r="P421" s="4">
        <f>Table1[[#This Row],[N tested for HSV-2 Ab]]*(8.8+13.8)/100</f>
        <v>289.27999999999997</v>
      </c>
      <c r="Q421" s="5">
        <f>Table1[[#This Row],[N HSV-2 Ab+]]*100/Table1[[#This Row],[N tested for HSV-2 Ab]]</f>
        <v>22.599999999999998</v>
      </c>
      <c r="R421" s="2">
        <v>111</v>
      </c>
      <c r="HZ421" s="34"/>
    </row>
    <row r="422" spans="1:234" ht="15" customHeight="1">
      <c r="A422" s="66" t="s">
        <v>369</v>
      </c>
      <c r="B422" s="2">
        <v>2014</v>
      </c>
      <c r="C422" s="1" t="s">
        <v>13</v>
      </c>
      <c r="D422" s="1" t="s">
        <v>610</v>
      </c>
      <c r="E422" s="1" t="s">
        <v>67</v>
      </c>
      <c r="F422" s="1" t="s">
        <v>123</v>
      </c>
      <c r="G422" s="1" t="s">
        <v>370</v>
      </c>
      <c r="H422" s="1" t="s">
        <v>125</v>
      </c>
      <c r="I422" s="1" t="s">
        <v>84</v>
      </c>
      <c r="J422" s="1" t="s">
        <v>11</v>
      </c>
      <c r="K422" s="25" t="s">
        <v>429</v>
      </c>
      <c r="L422" s="1" t="s">
        <v>385</v>
      </c>
      <c r="M422" s="4">
        <f>Table1[[#This Row],[N tested for HSV-1 Ab]]*(44.1+16)/100</f>
        <v>644.27200000000005</v>
      </c>
      <c r="N422" s="5">
        <f>Table1[[#This Row],[N HSV-1 Ab+]]*100/Table1[[#This Row],[N tested for HSV-1 Ab]]</f>
        <v>60.1</v>
      </c>
      <c r="O422" s="1" t="s">
        <v>385</v>
      </c>
      <c r="P422" s="4">
        <f>Table1[[#This Row],[N tested for HSV-2 Ab]]*(7.8+16)/100</f>
        <v>255.13600000000002</v>
      </c>
      <c r="Q422" s="5">
        <f>Table1[[#This Row],[N HSV-2 Ab+]]*100/Table1[[#This Row],[N tested for HSV-2 Ab]]</f>
        <v>23.8</v>
      </c>
      <c r="R422" s="2">
        <v>111</v>
      </c>
      <c r="HZ422" s="34"/>
    </row>
    <row r="423" spans="1:234" ht="15" customHeight="1">
      <c r="A423" s="66" t="s">
        <v>369</v>
      </c>
      <c r="B423" s="2">
        <v>2014</v>
      </c>
      <c r="C423" s="1" t="s">
        <v>13</v>
      </c>
      <c r="D423" s="1" t="s">
        <v>610</v>
      </c>
      <c r="E423" s="1" t="s">
        <v>67</v>
      </c>
      <c r="F423" s="1" t="s">
        <v>123</v>
      </c>
      <c r="G423" s="1" t="s">
        <v>370</v>
      </c>
      <c r="H423" s="1" t="s">
        <v>125</v>
      </c>
      <c r="I423" s="1" t="s">
        <v>84</v>
      </c>
      <c r="J423" s="1" t="s">
        <v>11</v>
      </c>
      <c r="K423" s="25" t="s">
        <v>462</v>
      </c>
      <c r="L423" s="1" t="s">
        <v>386</v>
      </c>
      <c r="M423" s="4">
        <f>Table1[[#This Row],[N tested for HSV-1 Ab]]*(40.3+20.7)/100</f>
        <v>523.99</v>
      </c>
      <c r="N423" s="5">
        <f>Table1[[#This Row],[N HSV-1 Ab+]]*100/Table1[[#This Row],[N tested for HSV-1 Ab]]</f>
        <v>61</v>
      </c>
      <c r="O423" s="1" t="s">
        <v>386</v>
      </c>
      <c r="P423" s="4">
        <f>Table1[[#This Row],[N tested for HSV-2 Ab]]*(10.4+20.7)/100</f>
        <v>267.149</v>
      </c>
      <c r="Q423" s="5">
        <f>Table1[[#This Row],[N HSV-2 Ab+]]*100/Table1[[#This Row],[N tested for HSV-2 Ab]]</f>
        <v>31.1</v>
      </c>
      <c r="R423" s="2">
        <v>111</v>
      </c>
      <c r="HZ423" s="34"/>
    </row>
    <row r="424" spans="1:234" ht="15" customHeight="1">
      <c r="A424" s="66" t="s">
        <v>296</v>
      </c>
      <c r="B424" s="2">
        <v>2017</v>
      </c>
      <c r="C424" s="1" t="s">
        <v>13</v>
      </c>
      <c r="D424" s="1" t="s">
        <v>122</v>
      </c>
      <c r="E424" s="1" t="s">
        <v>287</v>
      </c>
      <c r="F424" s="1" t="s">
        <v>9</v>
      </c>
      <c r="G424" s="1" t="s">
        <v>9</v>
      </c>
      <c r="H424" s="1" t="s">
        <v>616</v>
      </c>
      <c r="I424" s="1" t="s">
        <v>366</v>
      </c>
      <c r="J424" s="1" t="s">
        <v>11</v>
      </c>
      <c r="K424" s="3" t="s">
        <v>297</v>
      </c>
      <c r="L424" s="4">
        <v>51</v>
      </c>
      <c r="M424" s="4">
        <v>46</v>
      </c>
      <c r="N424" s="5">
        <v>90.2</v>
      </c>
      <c r="O424" s="4">
        <v>51</v>
      </c>
      <c r="P424" s="4">
        <v>31</v>
      </c>
      <c r="Q424" s="5">
        <v>60.8</v>
      </c>
      <c r="R424" s="2">
        <v>112</v>
      </c>
      <c r="HZ424" s="34"/>
    </row>
    <row r="425" spans="1:234" ht="15" customHeight="1">
      <c r="A425" s="66" t="s">
        <v>298</v>
      </c>
      <c r="B425" s="2">
        <v>2015</v>
      </c>
      <c r="C425" s="1" t="s">
        <v>604</v>
      </c>
      <c r="D425" s="16" t="s">
        <v>53</v>
      </c>
      <c r="E425" s="16" t="s">
        <v>299</v>
      </c>
      <c r="F425" s="1" t="s">
        <v>9</v>
      </c>
      <c r="G425" s="2">
        <v>2007</v>
      </c>
      <c r="H425" s="1" t="s">
        <v>22</v>
      </c>
      <c r="I425" s="1" t="s">
        <v>224</v>
      </c>
      <c r="J425" s="1" t="s">
        <v>16</v>
      </c>
      <c r="K425" s="3" t="s">
        <v>300</v>
      </c>
      <c r="L425" s="4">
        <v>1411</v>
      </c>
      <c r="M425" s="4">
        <f>N425*L425/100</f>
        <v>891.75199999999995</v>
      </c>
      <c r="N425" s="5">
        <v>63.2</v>
      </c>
      <c r="O425" s="1" t="s">
        <v>10</v>
      </c>
      <c r="P425" s="1" t="s">
        <v>10</v>
      </c>
      <c r="Q425" s="5" t="s">
        <v>10</v>
      </c>
      <c r="R425" s="2">
        <v>113</v>
      </c>
      <c r="HZ425" s="34"/>
    </row>
    <row r="426" spans="1:234" ht="15" customHeight="1">
      <c r="A426" s="66" t="s">
        <v>298</v>
      </c>
      <c r="B426" s="2">
        <v>2015</v>
      </c>
      <c r="C426" s="1" t="s">
        <v>604</v>
      </c>
      <c r="D426" s="16" t="s">
        <v>53</v>
      </c>
      <c r="E426" s="16" t="s">
        <v>299</v>
      </c>
      <c r="F426" s="1" t="s">
        <v>9</v>
      </c>
      <c r="G426" s="2">
        <v>2007</v>
      </c>
      <c r="H426" s="1" t="s">
        <v>22</v>
      </c>
      <c r="I426" s="1" t="s">
        <v>224</v>
      </c>
      <c r="J426" s="1" t="s">
        <v>16</v>
      </c>
      <c r="K426" s="3" t="s">
        <v>301</v>
      </c>
      <c r="L426" s="4"/>
      <c r="M426" s="4"/>
      <c r="N426" s="5">
        <v>11.1</v>
      </c>
      <c r="O426" s="1" t="s">
        <v>10</v>
      </c>
      <c r="P426" s="1" t="s">
        <v>10</v>
      </c>
      <c r="Q426" s="5" t="s">
        <v>10</v>
      </c>
      <c r="R426" s="2">
        <v>113</v>
      </c>
      <c r="HZ426" s="34"/>
    </row>
    <row r="427" spans="1:234" ht="15" customHeight="1">
      <c r="A427" s="66" t="s">
        <v>298</v>
      </c>
      <c r="B427" s="2">
        <v>2015</v>
      </c>
      <c r="C427" s="1" t="s">
        <v>604</v>
      </c>
      <c r="D427" s="16" t="s">
        <v>53</v>
      </c>
      <c r="E427" s="16" t="s">
        <v>299</v>
      </c>
      <c r="F427" s="1" t="s">
        <v>9</v>
      </c>
      <c r="G427" s="2">
        <v>2007</v>
      </c>
      <c r="H427" s="1" t="s">
        <v>22</v>
      </c>
      <c r="I427" s="1" t="s">
        <v>224</v>
      </c>
      <c r="J427" s="1" t="s">
        <v>16</v>
      </c>
      <c r="K427" s="3" t="s">
        <v>302</v>
      </c>
      <c r="L427" s="4"/>
      <c r="M427" s="4"/>
      <c r="N427" s="5">
        <v>47.9</v>
      </c>
      <c r="O427" s="1" t="s">
        <v>10</v>
      </c>
      <c r="P427" s="1" t="s">
        <v>10</v>
      </c>
      <c r="Q427" s="5" t="s">
        <v>10</v>
      </c>
      <c r="R427" s="2">
        <v>113</v>
      </c>
      <c r="HZ427" s="34"/>
    </row>
    <row r="428" spans="1:234" ht="15" customHeight="1">
      <c r="A428" s="66" t="s">
        <v>298</v>
      </c>
      <c r="B428" s="2">
        <v>2015</v>
      </c>
      <c r="C428" s="1" t="s">
        <v>604</v>
      </c>
      <c r="D428" s="16" t="s">
        <v>53</v>
      </c>
      <c r="E428" s="16" t="s">
        <v>299</v>
      </c>
      <c r="F428" s="1" t="s">
        <v>9</v>
      </c>
      <c r="G428" s="2">
        <v>2007</v>
      </c>
      <c r="H428" s="1" t="s">
        <v>22</v>
      </c>
      <c r="I428" s="1" t="s">
        <v>224</v>
      </c>
      <c r="J428" s="1" t="s">
        <v>16</v>
      </c>
      <c r="K428" s="3" t="s">
        <v>303</v>
      </c>
      <c r="L428" s="4"/>
      <c r="M428" s="4"/>
      <c r="N428" s="5">
        <v>53</v>
      </c>
      <c r="O428" s="1" t="s">
        <v>10</v>
      </c>
      <c r="P428" s="1" t="s">
        <v>10</v>
      </c>
      <c r="Q428" s="5" t="s">
        <v>10</v>
      </c>
      <c r="R428" s="2">
        <v>113</v>
      </c>
      <c r="HZ428" s="34"/>
    </row>
    <row r="429" spans="1:234" ht="15" customHeight="1">
      <c r="A429" s="66" t="s">
        <v>298</v>
      </c>
      <c r="B429" s="2">
        <v>2015</v>
      </c>
      <c r="C429" s="1" t="s">
        <v>604</v>
      </c>
      <c r="D429" s="16" t="s">
        <v>53</v>
      </c>
      <c r="E429" s="16" t="s">
        <v>299</v>
      </c>
      <c r="F429" s="1" t="s">
        <v>9</v>
      </c>
      <c r="G429" s="2">
        <v>2007</v>
      </c>
      <c r="H429" s="1" t="s">
        <v>22</v>
      </c>
      <c r="I429" s="1" t="s">
        <v>224</v>
      </c>
      <c r="J429" s="1" t="s">
        <v>16</v>
      </c>
      <c r="K429" s="3" t="s">
        <v>46</v>
      </c>
      <c r="L429" s="4"/>
      <c r="M429" s="4"/>
      <c r="N429" s="5">
        <v>90</v>
      </c>
      <c r="O429" s="1" t="s">
        <v>10</v>
      </c>
      <c r="P429" s="1" t="s">
        <v>10</v>
      </c>
      <c r="Q429" s="5" t="s">
        <v>10</v>
      </c>
      <c r="R429" s="2">
        <v>113</v>
      </c>
      <c r="HZ429" s="34"/>
    </row>
    <row r="430" spans="1:234" ht="15" customHeight="1">
      <c r="A430" s="66" t="s">
        <v>298</v>
      </c>
      <c r="B430" s="2">
        <v>2015</v>
      </c>
      <c r="C430" s="1" t="s">
        <v>604</v>
      </c>
      <c r="D430" s="16" t="s">
        <v>53</v>
      </c>
      <c r="E430" s="16" t="s">
        <v>299</v>
      </c>
      <c r="F430" s="1" t="s">
        <v>9</v>
      </c>
      <c r="G430" s="2">
        <v>2007</v>
      </c>
      <c r="H430" s="1" t="s">
        <v>22</v>
      </c>
      <c r="I430" s="1" t="s">
        <v>224</v>
      </c>
      <c r="J430" s="1" t="s">
        <v>23</v>
      </c>
      <c r="K430" s="3" t="s">
        <v>300</v>
      </c>
      <c r="L430" s="4">
        <v>581</v>
      </c>
      <c r="M430" s="4">
        <f>N430*L430/100</f>
        <v>302.12</v>
      </c>
      <c r="N430" s="5">
        <v>52</v>
      </c>
      <c r="O430" s="1" t="s">
        <v>10</v>
      </c>
      <c r="P430" s="1" t="s">
        <v>10</v>
      </c>
      <c r="Q430" s="5" t="s">
        <v>10</v>
      </c>
      <c r="R430" s="2">
        <v>113</v>
      </c>
      <c r="HZ430" s="34"/>
    </row>
    <row r="431" spans="1:234" ht="15" customHeight="1">
      <c r="A431" s="66" t="s">
        <v>298</v>
      </c>
      <c r="B431" s="2">
        <v>2015</v>
      </c>
      <c r="C431" s="1" t="s">
        <v>604</v>
      </c>
      <c r="D431" s="16" t="s">
        <v>53</v>
      </c>
      <c r="E431" s="16" t="s">
        <v>299</v>
      </c>
      <c r="F431" s="1" t="s">
        <v>9</v>
      </c>
      <c r="G431" s="2">
        <v>2007</v>
      </c>
      <c r="H431" s="1" t="s">
        <v>22</v>
      </c>
      <c r="I431" s="1" t="s">
        <v>224</v>
      </c>
      <c r="J431" s="1" t="s">
        <v>11</v>
      </c>
      <c r="K431" s="3" t="s">
        <v>300</v>
      </c>
      <c r="L431" s="4">
        <v>830</v>
      </c>
      <c r="M431" s="4">
        <f>N431*L431/100</f>
        <v>535.35</v>
      </c>
      <c r="N431" s="5">
        <v>64.5</v>
      </c>
      <c r="O431" s="1" t="s">
        <v>10</v>
      </c>
      <c r="P431" s="1" t="s">
        <v>10</v>
      </c>
      <c r="Q431" s="5" t="s">
        <v>10</v>
      </c>
      <c r="R431" s="2">
        <v>113</v>
      </c>
      <c r="HZ431" s="34"/>
    </row>
    <row r="432" spans="1:234" ht="15" customHeight="1">
      <c r="A432" s="66" t="s">
        <v>298</v>
      </c>
      <c r="B432" s="2">
        <v>2015</v>
      </c>
      <c r="C432" s="1" t="s">
        <v>604</v>
      </c>
      <c r="D432" s="16" t="s">
        <v>53</v>
      </c>
      <c r="E432" s="16" t="s">
        <v>299</v>
      </c>
      <c r="F432" s="1" t="s">
        <v>9</v>
      </c>
      <c r="G432" s="2">
        <v>2007</v>
      </c>
      <c r="H432" s="1" t="s">
        <v>22</v>
      </c>
      <c r="I432" s="1" t="s">
        <v>224</v>
      </c>
      <c r="J432" s="1" t="s">
        <v>16</v>
      </c>
      <c r="K432" s="3" t="s">
        <v>304</v>
      </c>
      <c r="L432" s="1" t="s">
        <v>10</v>
      </c>
      <c r="M432" s="1" t="s">
        <v>10</v>
      </c>
      <c r="N432" s="5" t="s">
        <v>10</v>
      </c>
      <c r="O432" s="4">
        <v>1072</v>
      </c>
      <c r="P432" s="4">
        <f>Q432*O432/100</f>
        <v>82.543999999999997</v>
      </c>
      <c r="Q432" s="35">
        <v>7.7</v>
      </c>
      <c r="R432" s="2">
        <v>113</v>
      </c>
      <c r="HZ432" s="34"/>
    </row>
    <row r="433" spans="1:234" ht="15" customHeight="1">
      <c r="A433" s="66" t="s">
        <v>298</v>
      </c>
      <c r="B433" s="2">
        <v>2015</v>
      </c>
      <c r="C433" s="1" t="s">
        <v>604</v>
      </c>
      <c r="D433" s="16" t="s">
        <v>53</v>
      </c>
      <c r="E433" s="16" t="s">
        <v>299</v>
      </c>
      <c r="F433" s="1" t="s">
        <v>9</v>
      </c>
      <c r="G433" s="2">
        <v>2007</v>
      </c>
      <c r="H433" s="1" t="s">
        <v>22</v>
      </c>
      <c r="I433" s="1" t="s">
        <v>224</v>
      </c>
      <c r="J433" s="1" t="s">
        <v>23</v>
      </c>
      <c r="K433" s="3" t="s">
        <v>300</v>
      </c>
      <c r="L433" s="1" t="s">
        <v>10</v>
      </c>
      <c r="M433" s="1" t="s">
        <v>10</v>
      </c>
      <c r="N433" s="5" t="s">
        <v>10</v>
      </c>
      <c r="O433" s="4">
        <f>1072-633</f>
        <v>439</v>
      </c>
      <c r="P433" s="4">
        <f>Q433*O433/100</f>
        <v>29.851999999999997</v>
      </c>
      <c r="Q433" s="35">
        <v>6.8</v>
      </c>
      <c r="R433" s="2">
        <v>113</v>
      </c>
      <c r="HZ433" s="34"/>
    </row>
    <row r="434" spans="1:234" ht="15" customHeight="1">
      <c r="A434" s="66" t="s">
        <v>298</v>
      </c>
      <c r="B434" s="2">
        <v>2015</v>
      </c>
      <c r="C434" s="1" t="s">
        <v>604</v>
      </c>
      <c r="D434" s="16" t="s">
        <v>53</v>
      </c>
      <c r="E434" s="16" t="s">
        <v>299</v>
      </c>
      <c r="F434" s="1" t="s">
        <v>9</v>
      </c>
      <c r="G434" s="2">
        <v>2007</v>
      </c>
      <c r="H434" s="1" t="s">
        <v>22</v>
      </c>
      <c r="I434" s="1" t="s">
        <v>224</v>
      </c>
      <c r="J434" s="1" t="s">
        <v>11</v>
      </c>
      <c r="K434" s="3" t="s">
        <v>300</v>
      </c>
      <c r="L434" s="1" t="s">
        <v>10</v>
      </c>
      <c r="M434" s="1" t="s">
        <v>10</v>
      </c>
      <c r="N434" s="5" t="s">
        <v>10</v>
      </c>
      <c r="O434" s="4">
        <v>633</v>
      </c>
      <c r="P434" s="4">
        <f>Q434*O434/100</f>
        <v>76.593000000000004</v>
      </c>
      <c r="Q434" s="5">
        <v>12.1</v>
      </c>
      <c r="R434" s="2">
        <v>113</v>
      </c>
      <c r="HZ434" s="34"/>
    </row>
    <row r="435" spans="1:234" ht="15" customHeight="1">
      <c r="A435" s="66" t="s">
        <v>305</v>
      </c>
      <c r="B435" s="2">
        <v>2014</v>
      </c>
      <c r="C435" s="1" t="s">
        <v>13</v>
      </c>
      <c r="D435" s="1" t="s">
        <v>610</v>
      </c>
      <c r="E435" s="1" t="s">
        <v>226</v>
      </c>
      <c r="F435" s="1" t="s">
        <v>306</v>
      </c>
      <c r="G435" s="1" t="s">
        <v>307</v>
      </c>
      <c r="H435" s="1" t="s">
        <v>22</v>
      </c>
      <c r="I435" s="1" t="s">
        <v>196</v>
      </c>
      <c r="J435" s="1" t="s">
        <v>16</v>
      </c>
      <c r="K435" s="3" t="s">
        <v>308</v>
      </c>
      <c r="L435" s="4">
        <v>263</v>
      </c>
      <c r="M435" s="4">
        <v>250</v>
      </c>
      <c r="N435" s="5">
        <v>95.1</v>
      </c>
      <c r="O435" s="1" t="s">
        <v>10</v>
      </c>
      <c r="P435" s="1" t="s">
        <v>10</v>
      </c>
      <c r="Q435" s="5" t="s">
        <v>10</v>
      </c>
      <c r="R435" s="2">
        <v>114</v>
      </c>
      <c r="HZ435" s="34"/>
    </row>
    <row r="436" spans="1:234" ht="15" customHeight="1">
      <c r="A436" s="66" t="s">
        <v>309</v>
      </c>
      <c r="B436" s="2">
        <v>2018</v>
      </c>
      <c r="C436" s="1" t="s">
        <v>13</v>
      </c>
      <c r="D436" s="1" t="s">
        <v>610</v>
      </c>
      <c r="E436" s="16" t="s">
        <v>612</v>
      </c>
      <c r="F436" s="1" t="s">
        <v>310</v>
      </c>
      <c r="G436" s="1" t="s">
        <v>311</v>
      </c>
      <c r="H436" s="1" t="s">
        <v>312</v>
      </c>
      <c r="I436" s="1" t="s">
        <v>313</v>
      </c>
      <c r="J436" s="1" t="s">
        <v>11</v>
      </c>
      <c r="K436" s="3" t="s">
        <v>314</v>
      </c>
      <c r="L436" s="1" t="s">
        <v>10</v>
      </c>
      <c r="M436" s="1" t="s">
        <v>10</v>
      </c>
      <c r="N436" s="5" t="s">
        <v>10</v>
      </c>
      <c r="O436" s="4">
        <v>78</v>
      </c>
      <c r="P436" s="4">
        <v>14</v>
      </c>
      <c r="Q436" s="5">
        <v>21</v>
      </c>
      <c r="R436" s="2">
        <v>115</v>
      </c>
      <c r="HZ436" s="34"/>
    </row>
    <row r="437" spans="1:234" ht="15" customHeight="1">
      <c r="A437" s="66" t="s">
        <v>309</v>
      </c>
      <c r="B437" s="2">
        <v>2018</v>
      </c>
      <c r="C437" s="1" t="s">
        <v>13</v>
      </c>
      <c r="D437" s="1" t="s">
        <v>610</v>
      </c>
      <c r="E437" s="16" t="s">
        <v>612</v>
      </c>
      <c r="F437" s="1" t="s">
        <v>310</v>
      </c>
      <c r="G437" s="1" t="s">
        <v>311</v>
      </c>
      <c r="H437" s="1" t="s">
        <v>312</v>
      </c>
      <c r="I437" s="1" t="s">
        <v>313</v>
      </c>
      <c r="J437" s="1" t="s">
        <v>11</v>
      </c>
      <c r="K437" s="3" t="s">
        <v>251</v>
      </c>
      <c r="L437" s="1" t="s">
        <v>10</v>
      </c>
      <c r="M437" s="1" t="s">
        <v>10</v>
      </c>
      <c r="N437" s="5" t="s">
        <v>10</v>
      </c>
      <c r="O437" s="4">
        <v>17</v>
      </c>
      <c r="P437" s="4">
        <v>3</v>
      </c>
      <c r="Q437" s="5">
        <f>P437*100/O437</f>
        <v>17.647058823529413</v>
      </c>
      <c r="R437" s="2">
        <v>115</v>
      </c>
      <c r="HZ437" s="34"/>
    </row>
    <row r="438" spans="1:234" ht="15" customHeight="1">
      <c r="A438" s="66" t="s">
        <v>309</v>
      </c>
      <c r="B438" s="2">
        <v>2018</v>
      </c>
      <c r="C438" s="1" t="s">
        <v>13</v>
      </c>
      <c r="D438" s="1" t="s">
        <v>610</v>
      </c>
      <c r="E438" s="16" t="s">
        <v>612</v>
      </c>
      <c r="F438" s="1" t="s">
        <v>310</v>
      </c>
      <c r="G438" s="1" t="s">
        <v>311</v>
      </c>
      <c r="H438" s="1" t="s">
        <v>312</v>
      </c>
      <c r="I438" s="1" t="s">
        <v>313</v>
      </c>
      <c r="J438" s="1" t="s">
        <v>11</v>
      </c>
      <c r="K438" s="3" t="s">
        <v>252</v>
      </c>
      <c r="L438" s="1" t="s">
        <v>10</v>
      </c>
      <c r="M438" s="1" t="s">
        <v>10</v>
      </c>
      <c r="N438" s="5" t="s">
        <v>10</v>
      </c>
      <c r="O438" s="4">
        <v>42</v>
      </c>
      <c r="P438" s="4">
        <v>1</v>
      </c>
      <c r="Q438" s="5">
        <f>P438*100/O438</f>
        <v>2.3809523809523809</v>
      </c>
      <c r="R438" s="2">
        <v>115</v>
      </c>
      <c r="HZ438" s="34"/>
    </row>
    <row r="439" spans="1:234" ht="15" customHeight="1">
      <c r="A439" s="66" t="s">
        <v>309</v>
      </c>
      <c r="B439" s="2">
        <v>2018</v>
      </c>
      <c r="C439" s="1" t="s">
        <v>13</v>
      </c>
      <c r="D439" s="1" t="s">
        <v>610</v>
      </c>
      <c r="E439" s="16" t="s">
        <v>612</v>
      </c>
      <c r="F439" s="1" t="s">
        <v>310</v>
      </c>
      <c r="G439" s="1" t="s">
        <v>311</v>
      </c>
      <c r="H439" s="1" t="s">
        <v>312</v>
      </c>
      <c r="I439" s="1" t="s">
        <v>313</v>
      </c>
      <c r="J439" s="1" t="s">
        <v>11</v>
      </c>
      <c r="K439" s="3" t="s">
        <v>315</v>
      </c>
      <c r="L439" s="1" t="s">
        <v>10</v>
      </c>
      <c r="M439" s="1" t="s">
        <v>10</v>
      </c>
      <c r="N439" s="5" t="s">
        <v>10</v>
      </c>
      <c r="O439" s="4">
        <v>19</v>
      </c>
      <c r="P439" s="4">
        <v>10</v>
      </c>
      <c r="Q439" s="5">
        <f>P439*100/O439</f>
        <v>52.631578947368418</v>
      </c>
      <c r="R439" s="2">
        <v>115</v>
      </c>
      <c r="HZ439" s="34"/>
    </row>
    <row r="440" spans="1:234" ht="15" customHeight="1">
      <c r="A440" s="66" t="s">
        <v>317</v>
      </c>
      <c r="B440" s="2">
        <v>2016</v>
      </c>
      <c r="C440" s="1" t="s">
        <v>13</v>
      </c>
      <c r="D440" s="1" t="s">
        <v>610</v>
      </c>
      <c r="E440" s="1" t="s">
        <v>277</v>
      </c>
      <c r="F440" s="1" t="s">
        <v>318</v>
      </c>
      <c r="G440" s="1" t="s">
        <v>319</v>
      </c>
      <c r="H440" s="1" t="s">
        <v>22</v>
      </c>
      <c r="I440" s="1" t="s">
        <v>320</v>
      </c>
      <c r="J440" s="1" t="s">
        <v>11</v>
      </c>
      <c r="K440" s="3" t="s">
        <v>321</v>
      </c>
      <c r="L440" s="4">
        <v>633</v>
      </c>
      <c r="M440" s="4">
        <f>N440*L440/100</f>
        <v>498.17099999999999</v>
      </c>
      <c r="N440" s="5">
        <v>78.7</v>
      </c>
      <c r="O440" s="4">
        <v>633</v>
      </c>
      <c r="P440" s="4">
        <f>Q440*O440/100</f>
        <v>517.16099999999994</v>
      </c>
      <c r="Q440" s="5">
        <v>81.7</v>
      </c>
      <c r="R440" s="2">
        <v>116</v>
      </c>
      <c r="HZ440" s="34"/>
    </row>
    <row r="441" spans="1:234" ht="15" customHeight="1">
      <c r="A441" s="66" t="s">
        <v>322</v>
      </c>
      <c r="B441" s="2">
        <v>2016</v>
      </c>
      <c r="C441" s="1" t="s">
        <v>8</v>
      </c>
      <c r="D441" s="1" t="s">
        <v>408</v>
      </c>
      <c r="E441" s="1" t="s">
        <v>43</v>
      </c>
      <c r="F441" s="1" t="s">
        <v>282</v>
      </c>
      <c r="G441" s="1" t="s">
        <v>323</v>
      </c>
      <c r="H441" s="1" t="s">
        <v>324</v>
      </c>
      <c r="I441" s="1" t="s">
        <v>366</v>
      </c>
      <c r="J441" s="1" t="s">
        <v>11</v>
      </c>
      <c r="K441" s="25" t="s">
        <v>623</v>
      </c>
      <c r="L441" s="4">
        <f t="shared" ref="L441:O442" si="30">271+753</f>
        <v>1024</v>
      </c>
      <c r="M441" s="4">
        <f>124+336</f>
        <v>460</v>
      </c>
      <c r="N441" s="5">
        <f>M441*100/L441</f>
        <v>44.921875</v>
      </c>
      <c r="O441" s="1" t="s">
        <v>10</v>
      </c>
      <c r="P441" s="1" t="s">
        <v>10</v>
      </c>
      <c r="Q441" s="5" t="s">
        <v>10</v>
      </c>
      <c r="R441" s="2">
        <v>117</v>
      </c>
      <c r="HZ441" s="34"/>
    </row>
    <row r="442" spans="1:234" ht="15" customHeight="1">
      <c r="A442" s="69" t="s">
        <v>322</v>
      </c>
      <c r="B442" s="2">
        <v>2016</v>
      </c>
      <c r="C442" s="1" t="s">
        <v>8</v>
      </c>
      <c r="D442" s="1" t="s">
        <v>408</v>
      </c>
      <c r="E442" s="1" t="s">
        <v>43</v>
      </c>
      <c r="F442" s="1" t="s">
        <v>282</v>
      </c>
      <c r="G442" s="1" t="s">
        <v>323</v>
      </c>
      <c r="H442" s="1" t="s">
        <v>324</v>
      </c>
      <c r="I442" s="1" t="s">
        <v>366</v>
      </c>
      <c r="J442" s="1" t="s">
        <v>11</v>
      </c>
      <c r="K442" s="25" t="s">
        <v>623</v>
      </c>
      <c r="L442" s="1" t="s">
        <v>10</v>
      </c>
      <c r="M442" s="1" t="s">
        <v>10</v>
      </c>
      <c r="N442" s="5" t="s">
        <v>10</v>
      </c>
      <c r="O442" s="4">
        <f t="shared" si="30"/>
        <v>1024</v>
      </c>
      <c r="P442" s="4">
        <f>36+46</f>
        <v>82</v>
      </c>
      <c r="Q442" s="5">
        <f>P442*100/O442</f>
        <v>8.0078125</v>
      </c>
      <c r="R442" s="2">
        <v>117</v>
      </c>
      <c r="HZ442" s="34"/>
    </row>
    <row r="443" spans="1:234" ht="15" customHeight="1">
      <c r="A443" s="66" t="s">
        <v>325</v>
      </c>
      <c r="B443" s="2">
        <v>2016</v>
      </c>
      <c r="C443" s="1" t="s">
        <v>8</v>
      </c>
      <c r="D443" s="1" t="s">
        <v>611</v>
      </c>
      <c r="E443" s="1" t="s">
        <v>43</v>
      </c>
      <c r="F443" s="1" t="s">
        <v>326</v>
      </c>
      <c r="G443" s="1" t="s">
        <v>327</v>
      </c>
      <c r="H443" s="1" t="s">
        <v>22</v>
      </c>
      <c r="I443" s="1" t="s">
        <v>366</v>
      </c>
      <c r="J443" s="1" t="s">
        <v>16</v>
      </c>
      <c r="K443" s="25" t="s">
        <v>624</v>
      </c>
      <c r="L443" s="4">
        <v>4180</v>
      </c>
      <c r="M443" s="4">
        <f>N443*L443/100</f>
        <v>1993.86</v>
      </c>
      <c r="N443" s="5">
        <v>47.7</v>
      </c>
      <c r="O443" s="4">
        <v>4180</v>
      </c>
      <c r="P443" s="4">
        <f>Q443*O443/100</f>
        <v>284.24</v>
      </c>
      <c r="Q443" s="5">
        <v>6.8</v>
      </c>
      <c r="R443" s="2">
        <v>118</v>
      </c>
      <c r="HZ443" s="34"/>
    </row>
    <row r="444" spans="1:234" ht="15" customHeight="1">
      <c r="A444" s="66" t="s">
        <v>325</v>
      </c>
      <c r="B444" s="2">
        <v>2016</v>
      </c>
      <c r="C444" s="1" t="s">
        <v>8</v>
      </c>
      <c r="D444" s="1" t="s">
        <v>611</v>
      </c>
      <c r="E444" s="1" t="s">
        <v>43</v>
      </c>
      <c r="F444" s="1" t="s">
        <v>328</v>
      </c>
      <c r="G444" s="1" t="s">
        <v>329</v>
      </c>
      <c r="H444" s="1" t="s">
        <v>22</v>
      </c>
      <c r="I444" s="1" t="s">
        <v>366</v>
      </c>
      <c r="J444" s="1" t="s">
        <v>16</v>
      </c>
      <c r="K444" s="25" t="s">
        <v>624</v>
      </c>
      <c r="L444" s="4">
        <v>3757</v>
      </c>
      <c r="M444" s="4">
        <f>N444*L444/100</f>
        <v>1604.2390000000003</v>
      </c>
      <c r="N444" s="5">
        <v>42.7</v>
      </c>
      <c r="O444" s="4">
        <v>3757</v>
      </c>
      <c r="P444" s="4">
        <f>Q444*O444/100</f>
        <v>225.42</v>
      </c>
      <c r="Q444" s="5">
        <v>6</v>
      </c>
      <c r="R444" s="2">
        <v>118</v>
      </c>
      <c r="HZ444" s="34"/>
    </row>
    <row r="445" spans="1:234" ht="15" customHeight="1">
      <c r="A445" s="66" t="s">
        <v>330</v>
      </c>
      <c r="B445" s="2">
        <v>2014</v>
      </c>
      <c r="C445" s="1" t="s">
        <v>604</v>
      </c>
      <c r="D445" s="16" t="s">
        <v>53</v>
      </c>
      <c r="E445" s="1" t="s">
        <v>197</v>
      </c>
      <c r="F445" s="1" t="s">
        <v>9</v>
      </c>
      <c r="G445" s="2">
        <v>2011</v>
      </c>
      <c r="H445" s="1" t="s">
        <v>147</v>
      </c>
      <c r="I445" s="1" t="s">
        <v>199</v>
      </c>
      <c r="J445" s="1" t="s">
        <v>11</v>
      </c>
      <c r="K445" s="3" t="s">
        <v>331</v>
      </c>
      <c r="L445" s="1" t="s">
        <v>10</v>
      </c>
      <c r="M445" s="1" t="s">
        <v>10</v>
      </c>
      <c r="N445" s="5" t="s">
        <v>10</v>
      </c>
      <c r="O445" s="4">
        <v>600</v>
      </c>
      <c r="P445" s="4">
        <v>92</v>
      </c>
      <c r="Q445" s="5">
        <v>15.3</v>
      </c>
      <c r="R445" s="2">
        <v>119</v>
      </c>
      <c r="HZ445" s="34"/>
    </row>
    <row r="446" spans="1:234" ht="15" customHeight="1">
      <c r="A446" s="66" t="s">
        <v>330</v>
      </c>
      <c r="B446" s="2">
        <v>2014</v>
      </c>
      <c r="C446" s="1" t="s">
        <v>604</v>
      </c>
      <c r="D446" s="16" t="s">
        <v>53</v>
      </c>
      <c r="E446" s="1" t="s">
        <v>197</v>
      </c>
      <c r="F446" s="1" t="s">
        <v>9</v>
      </c>
      <c r="G446" s="2">
        <v>2011</v>
      </c>
      <c r="H446" s="1" t="s">
        <v>147</v>
      </c>
      <c r="I446" s="1" t="s">
        <v>199</v>
      </c>
      <c r="J446" s="1" t="s">
        <v>11</v>
      </c>
      <c r="K446" s="3" t="s">
        <v>251</v>
      </c>
      <c r="L446" s="1" t="s">
        <v>10</v>
      </c>
      <c r="M446" s="1" t="s">
        <v>10</v>
      </c>
      <c r="N446" s="5" t="s">
        <v>10</v>
      </c>
      <c r="O446" s="4">
        <v>262</v>
      </c>
      <c r="P446" s="4">
        <v>26</v>
      </c>
      <c r="Q446" s="5">
        <v>9.9</v>
      </c>
      <c r="R446" s="2">
        <v>119</v>
      </c>
      <c r="HZ446" s="34"/>
    </row>
    <row r="447" spans="1:234" ht="15" customHeight="1">
      <c r="A447" s="66" t="s">
        <v>330</v>
      </c>
      <c r="B447" s="2">
        <v>2014</v>
      </c>
      <c r="C447" s="1" t="s">
        <v>604</v>
      </c>
      <c r="D447" s="16" t="s">
        <v>53</v>
      </c>
      <c r="E447" s="1" t="s">
        <v>197</v>
      </c>
      <c r="F447" s="1" t="s">
        <v>9</v>
      </c>
      <c r="G447" s="2">
        <v>2011</v>
      </c>
      <c r="H447" s="1" t="s">
        <v>147</v>
      </c>
      <c r="I447" s="1" t="s">
        <v>199</v>
      </c>
      <c r="J447" s="1" t="s">
        <v>11</v>
      </c>
      <c r="K447" s="3" t="s">
        <v>252</v>
      </c>
      <c r="L447" s="1" t="s">
        <v>10</v>
      </c>
      <c r="M447" s="1" t="s">
        <v>10</v>
      </c>
      <c r="N447" s="5" t="s">
        <v>10</v>
      </c>
      <c r="O447" s="4">
        <v>175</v>
      </c>
      <c r="P447" s="4">
        <v>27</v>
      </c>
      <c r="Q447" s="5">
        <v>15.4</v>
      </c>
      <c r="R447" s="2">
        <v>119</v>
      </c>
      <c r="HZ447" s="34"/>
    </row>
    <row r="448" spans="1:234" ht="15" customHeight="1">
      <c r="A448" s="71" t="s">
        <v>330</v>
      </c>
      <c r="B448" s="7">
        <v>2014</v>
      </c>
      <c r="C448" s="8" t="s">
        <v>604</v>
      </c>
      <c r="D448" s="16" t="s">
        <v>53</v>
      </c>
      <c r="E448" s="8" t="s">
        <v>197</v>
      </c>
      <c r="F448" s="8" t="s">
        <v>9</v>
      </c>
      <c r="G448" s="7">
        <v>2011</v>
      </c>
      <c r="H448" s="8" t="s">
        <v>147</v>
      </c>
      <c r="I448" s="8" t="s">
        <v>199</v>
      </c>
      <c r="J448" s="8" t="s">
        <v>11</v>
      </c>
      <c r="K448" s="25" t="s">
        <v>638</v>
      </c>
      <c r="L448" s="8" t="s">
        <v>10</v>
      </c>
      <c r="M448" s="8" t="s">
        <v>10</v>
      </c>
      <c r="N448" s="10" t="s">
        <v>10</v>
      </c>
      <c r="O448" s="9">
        <v>163</v>
      </c>
      <c r="P448" s="9">
        <v>39</v>
      </c>
      <c r="Q448" s="10">
        <v>23.9</v>
      </c>
      <c r="R448" s="7">
        <v>119</v>
      </c>
      <c r="HZ448" s="34"/>
    </row>
    <row r="449" spans="1:233" s="48" customFormat="1" ht="15" customHeight="1">
      <c r="A449" s="72" t="s">
        <v>44</v>
      </c>
      <c r="B449" s="29" t="s">
        <v>10</v>
      </c>
      <c r="C449" s="29" t="s">
        <v>13</v>
      </c>
      <c r="D449" s="29" t="s">
        <v>610</v>
      </c>
      <c r="E449" s="29" t="s">
        <v>67</v>
      </c>
      <c r="F449" s="29" t="s">
        <v>44</v>
      </c>
      <c r="G449" s="29" t="s">
        <v>399</v>
      </c>
      <c r="H449" s="29" t="s">
        <v>22</v>
      </c>
      <c r="I449" s="29" t="s">
        <v>641</v>
      </c>
      <c r="J449" s="29" t="s">
        <v>16</v>
      </c>
      <c r="K449" s="30" t="s">
        <v>142</v>
      </c>
      <c r="L449" s="29">
        <f>SUM(L450:L456)</f>
        <v>3707</v>
      </c>
      <c r="M449" s="29">
        <f>SUM(M450:M456)</f>
        <v>2097</v>
      </c>
      <c r="N449" s="84">
        <f>Table1[[#This Row],[N HSV-1 Ab+]]*100/Table1[[#This Row],[N tested for HSV-1 Ab]]</f>
        <v>56.568653898030753</v>
      </c>
      <c r="O449" s="29">
        <f>SUM(O450:O456)</f>
        <v>2960</v>
      </c>
      <c r="P449" s="29">
        <f>SUM(P450:P456)</f>
        <v>551</v>
      </c>
      <c r="Q449" s="81">
        <f>Table1[[#This Row],[N HSV-2 Ab+]]*100/Table1[[#This Row],[N tested for HSV-2 Ab]]</f>
        <v>18.614864864864863</v>
      </c>
      <c r="R449" s="32">
        <v>28</v>
      </c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  <c r="BU449" s="47"/>
      <c r="BV449" s="47"/>
      <c r="BW449" s="47"/>
      <c r="BX449" s="47"/>
      <c r="BY449" s="47"/>
      <c r="BZ449" s="47"/>
      <c r="CA449" s="47"/>
      <c r="CB449" s="47"/>
      <c r="CC449" s="47"/>
      <c r="CD449" s="47"/>
      <c r="CE449" s="47"/>
      <c r="CF449" s="47"/>
      <c r="CG449" s="47"/>
      <c r="CH449" s="47"/>
      <c r="CI449" s="47"/>
      <c r="CJ449" s="47"/>
      <c r="CK449" s="47"/>
      <c r="CL449" s="47"/>
      <c r="CM449" s="47"/>
      <c r="CN449" s="47"/>
      <c r="CO449" s="47"/>
      <c r="CP449" s="47"/>
      <c r="CQ449" s="47"/>
      <c r="CR449" s="47"/>
      <c r="CS449" s="47"/>
      <c r="CT449" s="47"/>
      <c r="CU449" s="47"/>
      <c r="CV449" s="47"/>
      <c r="CW449" s="47"/>
      <c r="CX449" s="47"/>
      <c r="CY449" s="47"/>
      <c r="CZ449" s="47"/>
      <c r="DA449" s="47"/>
      <c r="DB449" s="47"/>
      <c r="DC449" s="47"/>
      <c r="DD449" s="47"/>
      <c r="DE449" s="47"/>
      <c r="DF449" s="47"/>
      <c r="DG449" s="47"/>
      <c r="DH449" s="47"/>
      <c r="DI449" s="47"/>
      <c r="DJ449" s="47"/>
      <c r="DK449" s="47"/>
      <c r="DL449" s="47"/>
      <c r="DM449" s="47"/>
      <c r="DN449" s="47"/>
      <c r="DO449" s="47"/>
      <c r="DP449" s="47"/>
      <c r="DQ449" s="47"/>
      <c r="DR449" s="47"/>
      <c r="DS449" s="47"/>
      <c r="DT449" s="47"/>
      <c r="DU449" s="47"/>
      <c r="DV449" s="47"/>
      <c r="DW449" s="47"/>
      <c r="DX449" s="47"/>
      <c r="DY449" s="47"/>
      <c r="DZ449" s="47"/>
      <c r="EA449" s="47"/>
      <c r="EB449" s="47"/>
      <c r="EC449" s="47"/>
      <c r="ED449" s="47"/>
      <c r="EE449" s="47"/>
      <c r="EF449" s="47"/>
      <c r="EG449" s="47"/>
      <c r="EH449" s="47"/>
      <c r="EI449" s="47"/>
      <c r="EJ449" s="47"/>
      <c r="EK449" s="47"/>
      <c r="EL449" s="47"/>
      <c r="EM449" s="47"/>
      <c r="EN449" s="47"/>
      <c r="EO449" s="47"/>
      <c r="EP449" s="47"/>
      <c r="EQ449" s="47"/>
      <c r="ER449" s="47"/>
      <c r="ES449" s="47"/>
      <c r="ET449" s="47"/>
      <c r="EU449" s="47"/>
      <c r="EV449" s="47"/>
      <c r="EW449" s="47"/>
      <c r="EX449" s="47"/>
      <c r="EY449" s="47"/>
      <c r="EZ449" s="47"/>
      <c r="FA449" s="47"/>
      <c r="FB449" s="47"/>
      <c r="FC449" s="47"/>
      <c r="FD449" s="47"/>
      <c r="FE449" s="47"/>
      <c r="FF449" s="47"/>
      <c r="FG449" s="47"/>
      <c r="FH449" s="47"/>
      <c r="FI449" s="47"/>
      <c r="FJ449" s="47"/>
      <c r="FK449" s="47"/>
      <c r="FL449" s="47"/>
      <c r="FM449" s="47"/>
      <c r="FN449" s="47"/>
      <c r="FO449" s="47"/>
      <c r="FP449" s="47"/>
      <c r="FQ449" s="47"/>
      <c r="FR449" s="47"/>
      <c r="FS449" s="47"/>
      <c r="FT449" s="47"/>
      <c r="FU449" s="47"/>
      <c r="FV449" s="47"/>
      <c r="FW449" s="47"/>
      <c r="FX449" s="47"/>
      <c r="FY449" s="47"/>
      <c r="FZ449" s="47"/>
      <c r="GA449" s="47"/>
      <c r="GB449" s="47"/>
      <c r="GC449" s="47"/>
      <c r="GD449" s="47"/>
      <c r="GE449" s="47"/>
      <c r="GF449" s="47"/>
      <c r="GG449" s="47"/>
      <c r="GH449" s="47"/>
      <c r="GI449" s="47"/>
      <c r="GJ449" s="47"/>
      <c r="GK449" s="47"/>
      <c r="GL449" s="47"/>
      <c r="GM449" s="47"/>
      <c r="GN449" s="47"/>
      <c r="GO449" s="47"/>
      <c r="GP449" s="47"/>
      <c r="GQ449" s="47"/>
      <c r="GR449" s="47"/>
      <c r="GS449" s="47"/>
      <c r="GT449" s="47"/>
      <c r="GU449" s="47"/>
      <c r="GV449" s="47"/>
      <c r="GW449" s="47"/>
      <c r="GX449" s="47"/>
      <c r="GY449" s="47"/>
      <c r="GZ449" s="47"/>
      <c r="HA449" s="47"/>
      <c r="HB449" s="47"/>
      <c r="HC449" s="47"/>
      <c r="HD449" s="47"/>
      <c r="HE449" s="47"/>
      <c r="HF449" s="47"/>
      <c r="HG449" s="47"/>
      <c r="HH449" s="47"/>
      <c r="HI449" s="47"/>
      <c r="HJ449" s="47"/>
      <c r="HK449" s="47"/>
      <c r="HL449" s="47"/>
      <c r="HM449" s="47"/>
      <c r="HN449" s="47"/>
      <c r="HO449" s="47"/>
      <c r="HP449" s="47"/>
      <c r="HQ449" s="47"/>
      <c r="HR449" s="47"/>
      <c r="HS449" s="47"/>
      <c r="HT449" s="47"/>
      <c r="HU449" s="47"/>
      <c r="HV449" s="47"/>
      <c r="HW449" s="47"/>
      <c r="HX449" s="47"/>
      <c r="HY449" s="47"/>
    </row>
    <row r="450" spans="1:233" s="46" customFormat="1" ht="15" customHeight="1">
      <c r="A450" s="73" t="s">
        <v>44</v>
      </c>
      <c r="B450" s="26" t="s">
        <v>10</v>
      </c>
      <c r="C450" s="26" t="s">
        <v>13</v>
      </c>
      <c r="D450" s="26" t="s">
        <v>610</v>
      </c>
      <c r="E450" s="26" t="s">
        <v>67</v>
      </c>
      <c r="F450" s="26" t="s">
        <v>44</v>
      </c>
      <c r="G450" s="26" t="s">
        <v>399</v>
      </c>
      <c r="H450" s="26" t="s">
        <v>22</v>
      </c>
      <c r="I450" s="26" t="s">
        <v>641</v>
      </c>
      <c r="J450" s="26" t="s">
        <v>16</v>
      </c>
      <c r="K450" s="27" t="s">
        <v>24</v>
      </c>
      <c r="L450" s="26">
        <f>L458+L466</f>
        <v>1250</v>
      </c>
      <c r="M450" s="26">
        <f>M458+M466</f>
        <v>504</v>
      </c>
      <c r="N450" s="82">
        <f>Table1[[#This Row],[N HSV-1 Ab+]]*100/Table1[[#This Row],[N tested for HSV-1 Ab]]</f>
        <v>40.32</v>
      </c>
      <c r="O450" s="26">
        <f>O458+O466</f>
        <v>507</v>
      </c>
      <c r="P450" s="26">
        <f>P458+P466</f>
        <v>12</v>
      </c>
      <c r="Q450" s="82">
        <f>Table1[[#This Row],[N HSV-2 Ab+]]*100/Table1[[#This Row],[N tested for HSV-2 Ab]]</f>
        <v>2.3668639053254439</v>
      </c>
      <c r="R450" s="31">
        <v>28</v>
      </c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  <c r="BP450" s="45"/>
      <c r="BQ450" s="45"/>
      <c r="BR450" s="45"/>
      <c r="BS450" s="45"/>
      <c r="BT450" s="45"/>
      <c r="BU450" s="45"/>
      <c r="BV450" s="45"/>
      <c r="BW450" s="45"/>
      <c r="BX450" s="45"/>
      <c r="BY450" s="45"/>
      <c r="BZ450" s="45"/>
      <c r="CA450" s="45"/>
      <c r="CB450" s="45"/>
      <c r="CC450" s="45"/>
      <c r="CD450" s="45"/>
      <c r="CE450" s="45"/>
      <c r="CF450" s="45"/>
      <c r="CG450" s="45"/>
      <c r="CH450" s="45"/>
      <c r="CI450" s="45"/>
      <c r="CJ450" s="45"/>
      <c r="CK450" s="45"/>
      <c r="CL450" s="45"/>
      <c r="CM450" s="45"/>
      <c r="CN450" s="45"/>
      <c r="CO450" s="45"/>
      <c r="CP450" s="45"/>
      <c r="CQ450" s="45"/>
      <c r="CR450" s="45"/>
      <c r="CS450" s="45"/>
      <c r="CT450" s="45"/>
      <c r="CU450" s="45"/>
      <c r="CV450" s="45"/>
      <c r="CW450" s="45"/>
      <c r="CX450" s="45"/>
      <c r="CY450" s="45"/>
      <c r="CZ450" s="45"/>
      <c r="DA450" s="45"/>
      <c r="DB450" s="45"/>
      <c r="DC450" s="45"/>
      <c r="DD450" s="45"/>
      <c r="DE450" s="45"/>
      <c r="DF450" s="45"/>
      <c r="DG450" s="45"/>
      <c r="DH450" s="45"/>
      <c r="DI450" s="45"/>
      <c r="DJ450" s="45"/>
      <c r="DK450" s="45"/>
      <c r="DL450" s="45"/>
      <c r="DM450" s="45"/>
      <c r="DN450" s="45"/>
      <c r="DO450" s="45"/>
      <c r="DP450" s="45"/>
      <c r="DQ450" s="45"/>
      <c r="DR450" s="45"/>
      <c r="DS450" s="45"/>
      <c r="DT450" s="45"/>
      <c r="DU450" s="45"/>
      <c r="DV450" s="45"/>
      <c r="DW450" s="45"/>
      <c r="DX450" s="45"/>
      <c r="DY450" s="45"/>
      <c r="DZ450" s="45"/>
      <c r="EA450" s="45"/>
      <c r="EB450" s="45"/>
      <c r="EC450" s="45"/>
      <c r="ED450" s="45"/>
      <c r="EE450" s="45"/>
      <c r="EF450" s="45"/>
      <c r="EG450" s="45"/>
      <c r="EH450" s="45"/>
      <c r="EI450" s="45"/>
      <c r="EJ450" s="45"/>
      <c r="EK450" s="45"/>
      <c r="EL450" s="45"/>
      <c r="EM450" s="45"/>
      <c r="EN450" s="45"/>
      <c r="EO450" s="45"/>
      <c r="EP450" s="45"/>
      <c r="EQ450" s="45"/>
      <c r="ER450" s="45"/>
      <c r="ES450" s="45"/>
      <c r="ET450" s="45"/>
      <c r="EU450" s="45"/>
      <c r="EV450" s="45"/>
      <c r="EW450" s="45"/>
      <c r="EX450" s="45"/>
      <c r="EY450" s="45"/>
      <c r="EZ450" s="45"/>
      <c r="FA450" s="45"/>
      <c r="FB450" s="45"/>
      <c r="FC450" s="45"/>
      <c r="FD450" s="45"/>
      <c r="FE450" s="45"/>
      <c r="FF450" s="45"/>
      <c r="FG450" s="45"/>
      <c r="FH450" s="45"/>
      <c r="FI450" s="45"/>
      <c r="FJ450" s="45"/>
      <c r="FK450" s="45"/>
      <c r="FL450" s="45"/>
      <c r="FM450" s="45"/>
      <c r="FN450" s="45"/>
      <c r="FO450" s="45"/>
      <c r="FP450" s="45"/>
      <c r="FQ450" s="45"/>
      <c r="FR450" s="45"/>
      <c r="FS450" s="45"/>
      <c r="FT450" s="45"/>
      <c r="FU450" s="45"/>
      <c r="FV450" s="45"/>
      <c r="FW450" s="45"/>
      <c r="FX450" s="45"/>
      <c r="FY450" s="45"/>
      <c r="FZ450" s="45"/>
      <c r="GA450" s="45"/>
      <c r="GB450" s="45"/>
      <c r="GC450" s="45"/>
      <c r="GD450" s="45"/>
      <c r="GE450" s="45"/>
      <c r="GF450" s="45"/>
      <c r="GG450" s="45"/>
      <c r="GH450" s="45"/>
      <c r="GI450" s="45"/>
      <c r="GJ450" s="45"/>
      <c r="GK450" s="45"/>
      <c r="GL450" s="45"/>
      <c r="GM450" s="45"/>
      <c r="GN450" s="45"/>
      <c r="GO450" s="45"/>
      <c r="GP450" s="45"/>
      <c r="GQ450" s="45"/>
      <c r="GR450" s="45"/>
      <c r="GS450" s="45"/>
      <c r="GT450" s="45"/>
      <c r="GU450" s="45"/>
      <c r="GV450" s="45"/>
      <c r="GW450" s="45"/>
      <c r="GX450" s="45"/>
      <c r="GY450" s="45"/>
      <c r="GZ450" s="45"/>
      <c r="HA450" s="45"/>
      <c r="HB450" s="45"/>
      <c r="HC450" s="45"/>
      <c r="HD450" s="45"/>
      <c r="HE450" s="45"/>
      <c r="HF450" s="45"/>
      <c r="HG450" s="45"/>
      <c r="HH450" s="45"/>
      <c r="HI450" s="45"/>
      <c r="HJ450" s="45"/>
      <c r="HK450" s="45"/>
      <c r="HL450" s="45"/>
      <c r="HM450" s="45"/>
      <c r="HN450" s="45"/>
      <c r="HO450" s="45"/>
      <c r="HP450" s="45"/>
      <c r="HQ450" s="45"/>
      <c r="HR450" s="45"/>
      <c r="HS450" s="45"/>
      <c r="HT450" s="45"/>
      <c r="HU450" s="45"/>
      <c r="HV450" s="45"/>
      <c r="HW450" s="45"/>
      <c r="HX450" s="45"/>
      <c r="HY450" s="45"/>
    </row>
    <row r="451" spans="1:233" s="46" customFormat="1" ht="15" customHeight="1">
      <c r="A451" s="73" t="s">
        <v>44</v>
      </c>
      <c r="B451" s="26" t="s">
        <v>10</v>
      </c>
      <c r="C451" s="26" t="s">
        <v>13</v>
      </c>
      <c r="D451" s="26" t="s">
        <v>610</v>
      </c>
      <c r="E451" s="26" t="s">
        <v>67</v>
      </c>
      <c r="F451" s="26" t="s">
        <v>44</v>
      </c>
      <c r="G451" s="26" t="s">
        <v>399</v>
      </c>
      <c r="H451" s="26" t="s">
        <v>22</v>
      </c>
      <c r="I451" s="26" t="s">
        <v>641</v>
      </c>
      <c r="J451" s="26" t="s">
        <v>16</v>
      </c>
      <c r="K451" s="27" t="s">
        <v>25</v>
      </c>
      <c r="L451" s="26">
        <f t="shared" ref="L451:M451" si="31">L459+L467</f>
        <v>465</v>
      </c>
      <c r="M451" s="26">
        <f t="shared" si="31"/>
        <v>267</v>
      </c>
      <c r="N451" s="82">
        <f>Table1[[#This Row],[N HSV-1 Ab+]]*100/Table1[[#This Row],[N tested for HSV-1 Ab]]</f>
        <v>57.41935483870968</v>
      </c>
      <c r="O451" s="26">
        <f t="shared" ref="O451:P451" si="32">O459+O467</f>
        <v>463</v>
      </c>
      <c r="P451" s="26">
        <f t="shared" si="32"/>
        <v>47</v>
      </c>
      <c r="Q451" s="82">
        <f>Table1[[#This Row],[N HSV-2 Ab+]]*100/Table1[[#This Row],[N tested for HSV-2 Ab]]</f>
        <v>10.151187904967603</v>
      </c>
      <c r="R451" s="31">
        <v>28</v>
      </c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  <c r="BP451" s="45"/>
      <c r="BQ451" s="45"/>
      <c r="BR451" s="45"/>
      <c r="BS451" s="45"/>
      <c r="BT451" s="45"/>
      <c r="BU451" s="45"/>
      <c r="BV451" s="45"/>
      <c r="BW451" s="45"/>
      <c r="BX451" s="45"/>
      <c r="BY451" s="45"/>
      <c r="BZ451" s="45"/>
      <c r="CA451" s="45"/>
      <c r="CB451" s="45"/>
      <c r="CC451" s="45"/>
      <c r="CD451" s="45"/>
      <c r="CE451" s="45"/>
      <c r="CF451" s="45"/>
      <c r="CG451" s="45"/>
      <c r="CH451" s="45"/>
      <c r="CI451" s="45"/>
      <c r="CJ451" s="45"/>
      <c r="CK451" s="45"/>
      <c r="CL451" s="45"/>
      <c r="CM451" s="45"/>
      <c r="CN451" s="45"/>
      <c r="CO451" s="45"/>
      <c r="CP451" s="45"/>
      <c r="CQ451" s="45"/>
      <c r="CR451" s="45"/>
      <c r="CS451" s="45"/>
      <c r="CT451" s="45"/>
      <c r="CU451" s="45"/>
      <c r="CV451" s="45"/>
      <c r="CW451" s="45"/>
      <c r="CX451" s="45"/>
      <c r="CY451" s="45"/>
      <c r="CZ451" s="45"/>
      <c r="DA451" s="45"/>
      <c r="DB451" s="45"/>
      <c r="DC451" s="45"/>
      <c r="DD451" s="45"/>
      <c r="DE451" s="45"/>
      <c r="DF451" s="45"/>
      <c r="DG451" s="45"/>
      <c r="DH451" s="45"/>
      <c r="DI451" s="45"/>
      <c r="DJ451" s="45"/>
      <c r="DK451" s="45"/>
      <c r="DL451" s="45"/>
      <c r="DM451" s="45"/>
      <c r="DN451" s="45"/>
      <c r="DO451" s="45"/>
      <c r="DP451" s="45"/>
      <c r="DQ451" s="45"/>
      <c r="DR451" s="45"/>
      <c r="DS451" s="45"/>
      <c r="DT451" s="45"/>
      <c r="DU451" s="45"/>
      <c r="DV451" s="45"/>
      <c r="DW451" s="45"/>
      <c r="DX451" s="45"/>
      <c r="DY451" s="45"/>
      <c r="DZ451" s="45"/>
      <c r="EA451" s="45"/>
      <c r="EB451" s="45"/>
      <c r="EC451" s="45"/>
      <c r="ED451" s="45"/>
      <c r="EE451" s="45"/>
      <c r="EF451" s="45"/>
      <c r="EG451" s="45"/>
      <c r="EH451" s="45"/>
      <c r="EI451" s="45"/>
      <c r="EJ451" s="45"/>
      <c r="EK451" s="45"/>
      <c r="EL451" s="45"/>
      <c r="EM451" s="45"/>
      <c r="EN451" s="45"/>
      <c r="EO451" s="45"/>
      <c r="EP451" s="45"/>
      <c r="EQ451" s="45"/>
      <c r="ER451" s="45"/>
      <c r="ES451" s="45"/>
      <c r="ET451" s="45"/>
      <c r="EU451" s="45"/>
      <c r="EV451" s="45"/>
      <c r="EW451" s="45"/>
      <c r="EX451" s="45"/>
      <c r="EY451" s="45"/>
      <c r="EZ451" s="45"/>
      <c r="FA451" s="45"/>
      <c r="FB451" s="45"/>
      <c r="FC451" s="45"/>
      <c r="FD451" s="45"/>
      <c r="FE451" s="45"/>
      <c r="FF451" s="45"/>
      <c r="FG451" s="45"/>
      <c r="FH451" s="45"/>
      <c r="FI451" s="45"/>
      <c r="FJ451" s="45"/>
      <c r="FK451" s="45"/>
      <c r="FL451" s="45"/>
      <c r="FM451" s="45"/>
      <c r="FN451" s="45"/>
      <c r="FO451" s="45"/>
      <c r="FP451" s="45"/>
      <c r="FQ451" s="45"/>
      <c r="FR451" s="45"/>
      <c r="FS451" s="45"/>
      <c r="FT451" s="45"/>
      <c r="FU451" s="45"/>
      <c r="FV451" s="45"/>
      <c r="FW451" s="45"/>
      <c r="FX451" s="45"/>
      <c r="FY451" s="45"/>
      <c r="FZ451" s="45"/>
      <c r="GA451" s="45"/>
      <c r="GB451" s="45"/>
      <c r="GC451" s="45"/>
      <c r="GD451" s="45"/>
      <c r="GE451" s="45"/>
      <c r="GF451" s="45"/>
      <c r="GG451" s="45"/>
      <c r="GH451" s="45"/>
      <c r="GI451" s="45"/>
      <c r="GJ451" s="45"/>
      <c r="GK451" s="45"/>
      <c r="GL451" s="45"/>
      <c r="GM451" s="45"/>
      <c r="GN451" s="45"/>
      <c r="GO451" s="45"/>
      <c r="GP451" s="45"/>
      <c r="GQ451" s="45"/>
      <c r="GR451" s="45"/>
      <c r="GS451" s="45"/>
      <c r="GT451" s="45"/>
      <c r="GU451" s="45"/>
      <c r="GV451" s="45"/>
      <c r="GW451" s="45"/>
      <c r="GX451" s="45"/>
      <c r="GY451" s="45"/>
      <c r="GZ451" s="45"/>
      <c r="HA451" s="45"/>
      <c r="HB451" s="45"/>
      <c r="HC451" s="45"/>
      <c r="HD451" s="45"/>
      <c r="HE451" s="45"/>
      <c r="HF451" s="45"/>
      <c r="HG451" s="45"/>
      <c r="HH451" s="45"/>
      <c r="HI451" s="45"/>
      <c r="HJ451" s="45"/>
      <c r="HK451" s="45"/>
      <c r="HL451" s="45"/>
      <c r="HM451" s="45"/>
      <c r="HN451" s="45"/>
      <c r="HO451" s="45"/>
      <c r="HP451" s="45"/>
      <c r="HQ451" s="45"/>
      <c r="HR451" s="45"/>
      <c r="HS451" s="45"/>
      <c r="HT451" s="45"/>
      <c r="HU451" s="45"/>
      <c r="HV451" s="45"/>
      <c r="HW451" s="45"/>
      <c r="HX451" s="45"/>
      <c r="HY451" s="45"/>
    </row>
    <row r="452" spans="1:233" s="46" customFormat="1" ht="15" customHeight="1">
      <c r="A452" s="73" t="s">
        <v>44</v>
      </c>
      <c r="B452" s="26" t="s">
        <v>10</v>
      </c>
      <c r="C452" s="26" t="s">
        <v>13</v>
      </c>
      <c r="D452" s="26" t="s">
        <v>610</v>
      </c>
      <c r="E452" s="26" t="s">
        <v>67</v>
      </c>
      <c r="F452" s="26" t="s">
        <v>44</v>
      </c>
      <c r="G452" s="26" t="s">
        <v>399</v>
      </c>
      <c r="H452" s="26" t="s">
        <v>22</v>
      </c>
      <c r="I452" s="26" t="s">
        <v>641</v>
      </c>
      <c r="J452" s="26" t="s">
        <v>16</v>
      </c>
      <c r="K452" s="27" t="s">
        <v>26</v>
      </c>
      <c r="L452" s="26">
        <f t="shared" ref="L452:M452" si="33">L460+L468</f>
        <v>458</v>
      </c>
      <c r="M452" s="26">
        <f t="shared" si="33"/>
        <v>283</v>
      </c>
      <c r="N452" s="82">
        <f>Table1[[#This Row],[N HSV-1 Ab+]]*100/Table1[[#This Row],[N tested for HSV-1 Ab]]</f>
        <v>61.790393013100434</v>
      </c>
      <c r="O452" s="26">
        <f t="shared" ref="O452:P452" si="34">O460+O468</f>
        <v>458</v>
      </c>
      <c r="P452" s="26">
        <f t="shared" si="34"/>
        <v>77</v>
      </c>
      <c r="Q452" s="82">
        <f>Table1[[#This Row],[N HSV-2 Ab+]]*100/Table1[[#This Row],[N tested for HSV-2 Ab]]</f>
        <v>16.812227074235807</v>
      </c>
      <c r="R452" s="31">
        <v>28</v>
      </c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  <c r="BP452" s="45"/>
      <c r="BQ452" s="45"/>
      <c r="BR452" s="45"/>
      <c r="BS452" s="45"/>
      <c r="BT452" s="45"/>
      <c r="BU452" s="45"/>
      <c r="BV452" s="45"/>
      <c r="BW452" s="45"/>
      <c r="BX452" s="45"/>
      <c r="BY452" s="45"/>
      <c r="BZ452" s="45"/>
      <c r="CA452" s="45"/>
      <c r="CB452" s="45"/>
      <c r="CC452" s="45"/>
      <c r="CD452" s="45"/>
      <c r="CE452" s="45"/>
      <c r="CF452" s="45"/>
      <c r="CG452" s="45"/>
      <c r="CH452" s="45"/>
      <c r="CI452" s="45"/>
      <c r="CJ452" s="45"/>
      <c r="CK452" s="45"/>
      <c r="CL452" s="45"/>
      <c r="CM452" s="45"/>
      <c r="CN452" s="45"/>
      <c r="CO452" s="45"/>
      <c r="CP452" s="45"/>
      <c r="CQ452" s="45"/>
      <c r="CR452" s="45"/>
      <c r="CS452" s="45"/>
      <c r="CT452" s="45"/>
      <c r="CU452" s="45"/>
      <c r="CV452" s="45"/>
      <c r="CW452" s="45"/>
      <c r="CX452" s="45"/>
      <c r="CY452" s="45"/>
      <c r="CZ452" s="45"/>
      <c r="DA452" s="45"/>
      <c r="DB452" s="45"/>
      <c r="DC452" s="45"/>
      <c r="DD452" s="45"/>
      <c r="DE452" s="45"/>
      <c r="DF452" s="45"/>
      <c r="DG452" s="45"/>
      <c r="DH452" s="45"/>
      <c r="DI452" s="45"/>
      <c r="DJ452" s="45"/>
      <c r="DK452" s="45"/>
      <c r="DL452" s="45"/>
      <c r="DM452" s="45"/>
      <c r="DN452" s="45"/>
      <c r="DO452" s="45"/>
      <c r="DP452" s="45"/>
      <c r="DQ452" s="45"/>
      <c r="DR452" s="45"/>
      <c r="DS452" s="45"/>
      <c r="DT452" s="45"/>
      <c r="DU452" s="45"/>
      <c r="DV452" s="45"/>
      <c r="DW452" s="45"/>
      <c r="DX452" s="45"/>
      <c r="DY452" s="45"/>
      <c r="DZ452" s="45"/>
      <c r="EA452" s="45"/>
      <c r="EB452" s="45"/>
      <c r="EC452" s="45"/>
      <c r="ED452" s="45"/>
      <c r="EE452" s="45"/>
      <c r="EF452" s="45"/>
      <c r="EG452" s="45"/>
      <c r="EH452" s="45"/>
      <c r="EI452" s="45"/>
      <c r="EJ452" s="45"/>
      <c r="EK452" s="45"/>
      <c r="EL452" s="45"/>
      <c r="EM452" s="45"/>
      <c r="EN452" s="45"/>
      <c r="EO452" s="45"/>
      <c r="EP452" s="45"/>
      <c r="EQ452" s="45"/>
      <c r="ER452" s="45"/>
      <c r="ES452" s="45"/>
      <c r="ET452" s="45"/>
      <c r="EU452" s="45"/>
      <c r="EV452" s="45"/>
      <c r="EW452" s="45"/>
      <c r="EX452" s="45"/>
      <c r="EY452" s="45"/>
      <c r="EZ452" s="45"/>
      <c r="FA452" s="45"/>
      <c r="FB452" s="45"/>
      <c r="FC452" s="45"/>
      <c r="FD452" s="45"/>
      <c r="FE452" s="45"/>
      <c r="FF452" s="45"/>
      <c r="FG452" s="45"/>
      <c r="FH452" s="45"/>
      <c r="FI452" s="45"/>
      <c r="FJ452" s="45"/>
      <c r="FK452" s="45"/>
      <c r="FL452" s="45"/>
      <c r="FM452" s="45"/>
      <c r="FN452" s="45"/>
      <c r="FO452" s="45"/>
      <c r="FP452" s="45"/>
      <c r="FQ452" s="45"/>
      <c r="FR452" s="45"/>
      <c r="FS452" s="45"/>
      <c r="FT452" s="45"/>
      <c r="FU452" s="45"/>
      <c r="FV452" s="45"/>
      <c r="FW452" s="45"/>
      <c r="FX452" s="45"/>
      <c r="FY452" s="45"/>
      <c r="FZ452" s="45"/>
      <c r="GA452" s="45"/>
      <c r="GB452" s="45"/>
      <c r="GC452" s="45"/>
      <c r="GD452" s="45"/>
      <c r="GE452" s="45"/>
      <c r="GF452" s="45"/>
      <c r="GG452" s="45"/>
      <c r="GH452" s="45"/>
      <c r="GI452" s="45"/>
      <c r="GJ452" s="45"/>
      <c r="GK452" s="45"/>
      <c r="GL452" s="45"/>
      <c r="GM452" s="45"/>
      <c r="GN452" s="45"/>
      <c r="GO452" s="45"/>
      <c r="GP452" s="45"/>
      <c r="GQ452" s="45"/>
      <c r="GR452" s="45"/>
      <c r="GS452" s="45"/>
      <c r="GT452" s="45"/>
      <c r="GU452" s="45"/>
      <c r="GV452" s="45"/>
      <c r="GW452" s="45"/>
      <c r="GX452" s="45"/>
      <c r="GY452" s="45"/>
      <c r="GZ452" s="45"/>
      <c r="HA452" s="45"/>
      <c r="HB452" s="45"/>
      <c r="HC452" s="45"/>
      <c r="HD452" s="45"/>
      <c r="HE452" s="45"/>
      <c r="HF452" s="45"/>
      <c r="HG452" s="45"/>
      <c r="HH452" s="45"/>
      <c r="HI452" s="45"/>
      <c r="HJ452" s="45"/>
      <c r="HK452" s="45"/>
      <c r="HL452" s="45"/>
      <c r="HM452" s="45"/>
      <c r="HN452" s="45"/>
      <c r="HO452" s="45"/>
      <c r="HP452" s="45"/>
      <c r="HQ452" s="45"/>
      <c r="HR452" s="45"/>
      <c r="HS452" s="45"/>
      <c r="HT452" s="45"/>
      <c r="HU452" s="45"/>
      <c r="HV452" s="45"/>
      <c r="HW452" s="45"/>
      <c r="HX452" s="45"/>
      <c r="HY452" s="45"/>
    </row>
    <row r="453" spans="1:233" s="46" customFormat="1" ht="15" customHeight="1">
      <c r="A453" s="73" t="s">
        <v>44</v>
      </c>
      <c r="B453" s="26" t="s">
        <v>10</v>
      </c>
      <c r="C453" s="26" t="s">
        <v>13</v>
      </c>
      <c r="D453" s="26" t="s">
        <v>610</v>
      </c>
      <c r="E453" s="26" t="s">
        <v>67</v>
      </c>
      <c r="F453" s="26" t="s">
        <v>44</v>
      </c>
      <c r="G453" s="26" t="s">
        <v>399</v>
      </c>
      <c r="H453" s="26" t="s">
        <v>22</v>
      </c>
      <c r="I453" s="26" t="s">
        <v>641</v>
      </c>
      <c r="J453" s="26" t="s">
        <v>16</v>
      </c>
      <c r="K453" s="27" t="s">
        <v>27</v>
      </c>
      <c r="L453" s="26">
        <f t="shared" ref="L453:M453" si="35">L461+L469</f>
        <v>391</v>
      </c>
      <c r="M453" s="26">
        <f t="shared" si="35"/>
        <v>258</v>
      </c>
      <c r="N453" s="82">
        <f>Table1[[#This Row],[N HSV-1 Ab+]]*100/Table1[[#This Row],[N tested for HSV-1 Ab]]</f>
        <v>65.984654731457795</v>
      </c>
      <c r="O453" s="26">
        <f t="shared" ref="O453:P453" si="36">O461+O469</f>
        <v>390</v>
      </c>
      <c r="P453" s="26">
        <f t="shared" si="36"/>
        <v>87</v>
      </c>
      <c r="Q453" s="82">
        <f>Table1[[#This Row],[N HSV-2 Ab+]]*100/Table1[[#This Row],[N tested for HSV-2 Ab]]</f>
        <v>22.307692307692307</v>
      </c>
      <c r="R453" s="31">
        <v>28</v>
      </c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  <c r="BP453" s="45"/>
      <c r="BQ453" s="45"/>
      <c r="BR453" s="45"/>
      <c r="BS453" s="45"/>
      <c r="BT453" s="45"/>
      <c r="BU453" s="45"/>
      <c r="BV453" s="45"/>
      <c r="BW453" s="45"/>
      <c r="BX453" s="45"/>
      <c r="BY453" s="45"/>
      <c r="BZ453" s="45"/>
      <c r="CA453" s="45"/>
      <c r="CB453" s="45"/>
      <c r="CC453" s="45"/>
      <c r="CD453" s="45"/>
      <c r="CE453" s="45"/>
      <c r="CF453" s="45"/>
      <c r="CG453" s="45"/>
      <c r="CH453" s="45"/>
      <c r="CI453" s="45"/>
      <c r="CJ453" s="45"/>
      <c r="CK453" s="45"/>
      <c r="CL453" s="45"/>
      <c r="CM453" s="45"/>
      <c r="CN453" s="45"/>
      <c r="CO453" s="45"/>
      <c r="CP453" s="45"/>
      <c r="CQ453" s="45"/>
      <c r="CR453" s="45"/>
      <c r="CS453" s="45"/>
      <c r="CT453" s="45"/>
      <c r="CU453" s="45"/>
      <c r="CV453" s="45"/>
      <c r="CW453" s="45"/>
      <c r="CX453" s="45"/>
      <c r="CY453" s="45"/>
      <c r="CZ453" s="45"/>
      <c r="DA453" s="45"/>
      <c r="DB453" s="45"/>
      <c r="DC453" s="45"/>
      <c r="DD453" s="45"/>
      <c r="DE453" s="45"/>
      <c r="DF453" s="45"/>
      <c r="DG453" s="45"/>
      <c r="DH453" s="45"/>
      <c r="DI453" s="45"/>
      <c r="DJ453" s="45"/>
      <c r="DK453" s="45"/>
      <c r="DL453" s="45"/>
      <c r="DM453" s="45"/>
      <c r="DN453" s="45"/>
      <c r="DO453" s="45"/>
      <c r="DP453" s="45"/>
      <c r="DQ453" s="45"/>
      <c r="DR453" s="45"/>
      <c r="DS453" s="45"/>
      <c r="DT453" s="45"/>
      <c r="DU453" s="45"/>
      <c r="DV453" s="45"/>
      <c r="DW453" s="45"/>
      <c r="DX453" s="45"/>
      <c r="DY453" s="45"/>
      <c r="DZ453" s="45"/>
      <c r="EA453" s="45"/>
      <c r="EB453" s="45"/>
      <c r="EC453" s="45"/>
      <c r="ED453" s="45"/>
      <c r="EE453" s="45"/>
      <c r="EF453" s="45"/>
      <c r="EG453" s="45"/>
      <c r="EH453" s="45"/>
      <c r="EI453" s="45"/>
      <c r="EJ453" s="45"/>
      <c r="EK453" s="45"/>
      <c r="EL453" s="45"/>
      <c r="EM453" s="45"/>
      <c r="EN453" s="45"/>
      <c r="EO453" s="45"/>
      <c r="EP453" s="45"/>
      <c r="EQ453" s="45"/>
      <c r="ER453" s="45"/>
      <c r="ES453" s="45"/>
      <c r="ET453" s="45"/>
      <c r="EU453" s="45"/>
      <c r="EV453" s="45"/>
      <c r="EW453" s="45"/>
      <c r="EX453" s="45"/>
      <c r="EY453" s="45"/>
      <c r="EZ453" s="45"/>
      <c r="FA453" s="45"/>
      <c r="FB453" s="45"/>
      <c r="FC453" s="45"/>
      <c r="FD453" s="45"/>
      <c r="FE453" s="45"/>
      <c r="FF453" s="45"/>
      <c r="FG453" s="45"/>
      <c r="FH453" s="45"/>
      <c r="FI453" s="45"/>
      <c r="FJ453" s="45"/>
      <c r="FK453" s="45"/>
      <c r="FL453" s="45"/>
      <c r="FM453" s="45"/>
      <c r="FN453" s="45"/>
      <c r="FO453" s="45"/>
      <c r="FP453" s="45"/>
      <c r="FQ453" s="45"/>
      <c r="FR453" s="45"/>
      <c r="FS453" s="45"/>
      <c r="FT453" s="45"/>
      <c r="FU453" s="45"/>
      <c r="FV453" s="45"/>
      <c r="FW453" s="45"/>
      <c r="FX453" s="45"/>
      <c r="FY453" s="45"/>
      <c r="FZ453" s="45"/>
      <c r="GA453" s="45"/>
      <c r="GB453" s="45"/>
      <c r="GC453" s="45"/>
      <c r="GD453" s="45"/>
      <c r="GE453" s="45"/>
      <c r="GF453" s="45"/>
      <c r="GG453" s="45"/>
      <c r="GH453" s="45"/>
      <c r="GI453" s="45"/>
      <c r="GJ453" s="45"/>
      <c r="GK453" s="45"/>
      <c r="GL453" s="45"/>
      <c r="GM453" s="45"/>
      <c r="GN453" s="45"/>
      <c r="GO453" s="45"/>
      <c r="GP453" s="45"/>
      <c r="GQ453" s="45"/>
      <c r="GR453" s="45"/>
      <c r="GS453" s="45"/>
      <c r="GT453" s="45"/>
      <c r="GU453" s="45"/>
      <c r="GV453" s="45"/>
      <c r="GW453" s="45"/>
      <c r="GX453" s="45"/>
      <c r="GY453" s="45"/>
      <c r="GZ453" s="45"/>
      <c r="HA453" s="45"/>
      <c r="HB453" s="45"/>
      <c r="HC453" s="45"/>
      <c r="HD453" s="45"/>
      <c r="HE453" s="45"/>
      <c r="HF453" s="45"/>
      <c r="HG453" s="45"/>
      <c r="HH453" s="45"/>
      <c r="HI453" s="45"/>
      <c r="HJ453" s="45"/>
      <c r="HK453" s="45"/>
      <c r="HL453" s="45"/>
      <c r="HM453" s="45"/>
      <c r="HN453" s="45"/>
      <c r="HO453" s="45"/>
      <c r="HP453" s="45"/>
      <c r="HQ453" s="45"/>
      <c r="HR453" s="45"/>
      <c r="HS453" s="45"/>
      <c r="HT453" s="45"/>
      <c r="HU453" s="45"/>
      <c r="HV453" s="45"/>
      <c r="HW453" s="45"/>
      <c r="HX453" s="45"/>
      <c r="HY453" s="45"/>
    </row>
    <row r="454" spans="1:233" s="46" customFormat="1" ht="15" customHeight="1">
      <c r="A454" s="73" t="s">
        <v>44</v>
      </c>
      <c r="B454" s="26" t="s">
        <v>10</v>
      </c>
      <c r="C454" s="26" t="s">
        <v>13</v>
      </c>
      <c r="D454" s="26" t="s">
        <v>610</v>
      </c>
      <c r="E454" s="26" t="s">
        <v>67</v>
      </c>
      <c r="F454" s="26" t="s">
        <v>44</v>
      </c>
      <c r="G454" s="26" t="s">
        <v>399</v>
      </c>
      <c r="H454" s="26" t="s">
        <v>22</v>
      </c>
      <c r="I454" s="26" t="s">
        <v>641</v>
      </c>
      <c r="J454" s="26" t="s">
        <v>16</v>
      </c>
      <c r="K454" s="27" t="s">
        <v>28</v>
      </c>
      <c r="L454" s="26">
        <f t="shared" ref="L454:M454" si="37">L462+L470</f>
        <v>367</v>
      </c>
      <c r="M454" s="26">
        <f t="shared" si="37"/>
        <v>253</v>
      </c>
      <c r="N454" s="82">
        <f>Table1[[#This Row],[N HSV-1 Ab+]]*100/Table1[[#This Row],[N tested for HSV-1 Ab]]</f>
        <v>68.937329700272485</v>
      </c>
      <c r="O454" s="26">
        <f t="shared" ref="O454:P454" si="38">O462+O470</f>
        <v>366</v>
      </c>
      <c r="P454" s="26">
        <f t="shared" si="38"/>
        <v>94</v>
      </c>
      <c r="Q454" s="82">
        <f>Table1[[#This Row],[N HSV-2 Ab+]]*100/Table1[[#This Row],[N tested for HSV-2 Ab]]</f>
        <v>25.683060109289617</v>
      </c>
      <c r="R454" s="31">
        <v>28</v>
      </c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  <c r="BP454" s="45"/>
      <c r="BQ454" s="45"/>
      <c r="BR454" s="45"/>
      <c r="BS454" s="45"/>
      <c r="BT454" s="45"/>
      <c r="BU454" s="45"/>
      <c r="BV454" s="45"/>
      <c r="BW454" s="45"/>
      <c r="BX454" s="45"/>
      <c r="BY454" s="45"/>
      <c r="BZ454" s="45"/>
      <c r="CA454" s="45"/>
      <c r="CB454" s="45"/>
      <c r="CC454" s="45"/>
      <c r="CD454" s="45"/>
      <c r="CE454" s="45"/>
      <c r="CF454" s="45"/>
      <c r="CG454" s="45"/>
      <c r="CH454" s="45"/>
      <c r="CI454" s="45"/>
      <c r="CJ454" s="45"/>
      <c r="CK454" s="45"/>
      <c r="CL454" s="45"/>
      <c r="CM454" s="45"/>
      <c r="CN454" s="45"/>
      <c r="CO454" s="45"/>
      <c r="CP454" s="45"/>
      <c r="CQ454" s="45"/>
      <c r="CR454" s="45"/>
      <c r="CS454" s="45"/>
      <c r="CT454" s="45"/>
      <c r="CU454" s="45"/>
      <c r="CV454" s="45"/>
      <c r="CW454" s="45"/>
      <c r="CX454" s="45"/>
      <c r="CY454" s="45"/>
      <c r="CZ454" s="45"/>
      <c r="DA454" s="45"/>
      <c r="DB454" s="45"/>
      <c r="DC454" s="45"/>
      <c r="DD454" s="45"/>
      <c r="DE454" s="45"/>
      <c r="DF454" s="45"/>
      <c r="DG454" s="45"/>
      <c r="DH454" s="45"/>
      <c r="DI454" s="45"/>
      <c r="DJ454" s="45"/>
      <c r="DK454" s="45"/>
      <c r="DL454" s="45"/>
      <c r="DM454" s="45"/>
      <c r="DN454" s="45"/>
      <c r="DO454" s="45"/>
      <c r="DP454" s="45"/>
      <c r="DQ454" s="45"/>
      <c r="DR454" s="45"/>
      <c r="DS454" s="45"/>
      <c r="DT454" s="45"/>
      <c r="DU454" s="45"/>
      <c r="DV454" s="45"/>
      <c r="DW454" s="45"/>
      <c r="DX454" s="45"/>
      <c r="DY454" s="45"/>
      <c r="DZ454" s="45"/>
      <c r="EA454" s="45"/>
      <c r="EB454" s="45"/>
      <c r="EC454" s="45"/>
      <c r="ED454" s="45"/>
      <c r="EE454" s="45"/>
      <c r="EF454" s="45"/>
      <c r="EG454" s="45"/>
      <c r="EH454" s="45"/>
      <c r="EI454" s="45"/>
      <c r="EJ454" s="45"/>
      <c r="EK454" s="45"/>
      <c r="EL454" s="45"/>
      <c r="EM454" s="45"/>
      <c r="EN454" s="45"/>
      <c r="EO454" s="45"/>
      <c r="EP454" s="45"/>
      <c r="EQ454" s="45"/>
      <c r="ER454" s="45"/>
      <c r="ES454" s="45"/>
      <c r="ET454" s="45"/>
      <c r="EU454" s="45"/>
      <c r="EV454" s="45"/>
      <c r="EW454" s="45"/>
      <c r="EX454" s="45"/>
      <c r="EY454" s="45"/>
      <c r="EZ454" s="45"/>
      <c r="FA454" s="45"/>
      <c r="FB454" s="45"/>
      <c r="FC454" s="45"/>
      <c r="FD454" s="45"/>
      <c r="FE454" s="45"/>
      <c r="FF454" s="45"/>
      <c r="FG454" s="45"/>
      <c r="FH454" s="45"/>
      <c r="FI454" s="45"/>
      <c r="FJ454" s="45"/>
      <c r="FK454" s="45"/>
      <c r="FL454" s="45"/>
      <c r="FM454" s="45"/>
      <c r="FN454" s="45"/>
      <c r="FO454" s="45"/>
      <c r="FP454" s="45"/>
      <c r="FQ454" s="45"/>
      <c r="FR454" s="45"/>
      <c r="FS454" s="45"/>
      <c r="FT454" s="45"/>
      <c r="FU454" s="45"/>
      <c r="FV454" s="45"/>
      <c r="FW454" s="45"/>
      <c r="FX454" s="45"/>
      <c r="FY454" s="45"/>
      <c r="FZ454" s="45"/>
      <c r="GA454" s="45"/>
      <c r="GB454" s="45"/>
      <c r="GC454" s="45"/>
      <c r="GD454" s="45"/>
      <c r="GE454" s="45"/>
      <c r="GF454" s="45"/>
      <c r="GG454" s="45"/>
      <c r="GH454" s="45"/>
      <c r="GI454" s="45"/>
      <c r="GJ454" s="45"/>
      <c r="GK454" s="45"/>
      <c r="GL454" s="45"/>
      <c r="GM454" s="45"/>
      <c r="GN454" s="45"/>
      <c r="GO454" s="45"/>
      <c r="GP454" s="45"/>
      <c r="GQ454" s="45"/>
      <c r="GR454" s="45"/>
      <c r="GS454" s="45"/>
      <c r="GT454" s="45"/>
      <c r="GU454" s="45"/>
      <c r="GV454" s="45"/>
      <c r="GW454" s="45"/>
      <c r="GX454" s="45"/>
      <c r="GY454" s="45"/>
      <c r="GZ454" s="45"/>
      <c r="HA454" s="45"/>
      <c r="HB454" s="45"/>
      <c r="HC454" s="45"/>
      <c r="HD454" s="45"/>
      <c r="HE454" s="45"/>
      <c r="HF454" s="45"/>
      <c r="HG454" s="45"/>
      <c r="HH454" s="45"/>
      <c r="HI454" s="45"/>
      <c r="HJ454" s="45"/>
      <c r="HK454" s="45"/>
      <c r="HL454" s="45"/>
      <c r="HM454" s="45"/>
      <c r="HN454" s="45"/>
      <c r="HO454" s="45"/>
      <c r="HP454" s="45"/>
      <c r="HQ454" s="45"/>
      <c r="HR454" s="45"/>
      <c r="HS454" s="45"/>
      <c r="HT454" s="45"/>
      <c r="HU454" s="45"/>
      <c r="HV454" s="45"/>
      <c r="HW454" s="45"/>
      <c r="HX454" s="45"/>
      <c r="HY454" s="45"/>
    </row>
    <row r="455" spans="1:233" s="46" customFormat="1" ht="15" customHeight="1">
      <c r="A455" s="73" t="s">
        <v>44</v>
      </c>
      <c r="B455" s="26" t="s">
        <v>10</v>
      </c>
      <c r="C455" s="26" t="s">
        <v>13</v>
      </c>
      <c r="D455" s="26" t="s">
        <v>610</v>
      </c>
      <c r="E455" s="26" t="s">
        <v>67</v>
      </c>
      <c r="F455" s="26" t="s">
        <v>44</v>
      </c>
      <c r="G455" s="26" t="s">
        <v>399</v>
      </c>
      <c r="H455" s="26" t="s">
        <v>22</v>
      </c>
      <c r="I455" s="26" t="s">
        <v>641</v>
      </c>
      <c r="J455" s="26" t="s">
        <v>16</v>
      </c>
      <c r="K455" s="27" t="s">
        <v>72</v>
      </c>
      <c r="L455" s="26">
        <f t="shared" ref="L455:M455" si="39">L463+L471</f>
        <v>394</v>
      </c>
      <c r="M455" s="26">
        <f t="shared" si="39"/>
        <v>276</v>
      </c>
      <c r="N455" s="82">
        <f>Table1[[#This Row],[N HSV-1 Ab+]]*100/Table1[[#This Row],[N tested for HSV-1 Ab]]</f>
        <v>70.050761421319791</v>
      </c>
      <c r="O455" s="26">
        <f t="shared" ref="O455:P455" si="40">O463+O471</f>
        <v>394</v>
      </c>
      <c r="P455" s="26">
        <f t="shared" si="40"/>
        <v>107</v>
      </c>
      <c r="Q455" s="82">
        <f>Table1[[#This Row],[N HSV-2 Ab+]]*100/Table1[[#This Row],[N tested for HSV-2 Ab]]</f>
        <v>27.157360406091371</v>
      </c>
      <c r="R455" s="31">
        <v>28</v>
      </c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  <c r="BP455" s="45"/>
      <c r="BQ455" s="45"/>
      <c r="BR455" s="45"/>
      <c r="BS455" s="45"/>
      <c r="BT455" s="45"/>
      <c r="BU455" s="45"/>
      <c r="BV455" s="45"/>
      <c r="BW455" s="45"/>
      <c r="BX455" s="45"/>
      <c r="BY455" s="45"/>
      <c r="BZ455" s="45"/>
      <c r="CA455" s="45"/>
      <c r="CB455" s="45"/>
      <c r="CC455" s="45"/>
      <c r="CD455" s="45"/>
      <c r="CE455" s="45"/>
      <c r="CF455" s="45"/>
      <c r="CG455" s="45"/>
      <c r="CH455" s="45"/>
      <c r="CI455" s="45"/>
      <c r="CJ455" s="45"/>
      <c r="CK455" s="45"/>
      <c r="CL455" s="45"/>
      <c r="CM455" s="45"/>
      <c r="CN455" s="45"/>
      <c r="CO455" s="45"/>
      <c r="CP455" s="45"/>
      <c r="CQ455" s="45"/>
      <c r="CR455" s="45"/>
      <c r="CS455" s="45"/>
      <c r="CT455" s="45"/>
      <c r="CU455" s="45"/>
      <c r="CV455" s="45"/>
      <c r="CW455" s="45"/>
      <c r="CX455" s="45"/>
      <c r="CY455" s="45"/>
      <c r="CZ455" s="45"/>
      <c r="DA455" s="45"/>
      <c r="DB455" s="45"/>
      <c r="DC455" s="45"/>
      <c r="DD455" s="45"/>
      <c r="DE455" s="45"/>
      <c r="DF455" s="45"/>
      <c r="DG455" s="45"/>
      <c r="DH455" s="45"/>
      <c r="DI455" s="45"/>
      <c r="DJ455" s="45"/>
      <c r="DK455" s="45"/>
      <c r="DL455" s="45"/>
      <c r="DM455" s="45"/>
      <c r="DN455" s="45"/>
      <c r="DO455" s="45"/>
      <c r="DP455" s="45"/>
      <c r="DQ455" s="45"/>
      <c r="DR455" s="45"/>
      <c r="DS455" s="45"/>
      <c r="DT455" s="45"/>
      <c r="DU455" s="45"/>
      <c r="DV455" s="45"/>
      <c r="DW455" s="45"/>
      <c r="DX455" s="45"/>
      <c r="DY455" s="45"/>
      <c r="DZ455" s="45"/>
      <c r="EA455" s="45"/>
      <c r="EB455" s="45"/>
      <c r="EC455" s="45"/>
      <c r="ED455" s="45"/>
      <c r="EE455" s="45"/>
      <c r="EF455" s="45"/>
      <c r="EG455" s="45"/>
      <c r="EH455" s="45"/>
      <c r="EI455" s="45"/>
      <c r="EJ455" s="45"/>
      <c r="EK455" s="45"/>
      <c r="EL455" s="45"/>
      <c r="EM455" s="45"/>
      <c r="EN455" s="45"/>
      <c r="EO455" s="45"/>
      <c r="EP455" s="45"/>
      <c r="EQ455" s="45"/>
      <c r="ER455" s="45"/>
      <c r="ES455" s="45"/>
      <c r="ET455" s="45"/>
      <c r="EU455" s="45"/>
      <c r="EV455" s="45"/>
      <c r="EW455" s="45"/>
      <c r="EX455" s="45"/>
      <c r="EY455" s="45"/>
      <c r="EZ455" s="45"/>
      <c r="FA455" s="45"/>
      <c r="FB455" s="45"/>
      <c r="FC455" s="45"/>
      <c r="FD455" s="45"/>
      <c r="FE455" s="45"/>
      <c r="FF455" s="45"/>
      <c r="FG455" s="45"/>
      <c r="FH455" s="45"/>
      <c r="FI455" s="45"/>
      <c r="FJ455" s="45"/>
      <c r="FK455" s="45"/>
      <c r="FL455" s="45"/>
      <c r="FM455" s="45"/>
      <c r="FN455" s="45"/>
      <c r="FO455" s="45"/>
      <c r="FP455" s="45"/>
      <c r="FQ455" s="45"/>
      <c r="FR455" s="45"/>
      <c r="FS455" s="45"/>
      <c r="FT455" s="45"/>
      <c r="FU455" s="45"/>
      <c r="FV455" s="45"/>
      <c r="FW455" s="45"/>
      <c r="FX455" s="45"/>
      <c r="FY455" s="45"/>
      <c r="FZ455" s="45"/>
      <c r="GA455" s="45"/>
      <c r="GB455" s="45"/>
      <c r="GC455" s="45"/>
      <c r="GD455" s="45"/>
      <c r="GE455" s="45"/>
      <c r="GF455" s="45"/>
      <c r="GG455" s="45"/>
      <c r="GH455" s="45"/>
      <c r="GI455" s="45"/>
      <c r="GJ455" s="45"/>
      <c r="GK455" s="45"/>
      <c r="GL455" s="45"/>
      <c r="GM455" s="45"/>
      <c r="GN455" s="45"/>
      <c r="GO455" s="45"/>
      <c r="GP455" s="45"/>
      <c r="GQ455" s="45"/>
      <c r="GR455" s="45"/>
      <c r="GS455" s="45"/>
      <c r="GT455" s="45"/>
      <c r="GU455" s="45"/>
      <c r="GV455" s="45"/>
      <c r="GW455" s="45"/>
      <c r="GX455" s="45"/>
      <c r="GY455" s="45"/>
      <c r="GZ455" s="45"/>
      <c r="HA455" s="45"/>
      <c r="HB455" s="45"/>
      <c r="HC455" s="45"/>
      <c r="HD455" s="45"/>
      <c r="HE455" s="45"/>
      <c r="HF455" s="45"/>
      <c r="HG455" s="45"/>
      <c r="HH455" s="45"/>
      <c r="HI455" s="45"/>
      <c r="HJ455" s="45"/>
      <c r="HK455" s="45"/>
      <c r="HL455" s="45"/>
      <c r="HM455" s="45"/>
      <c r="HN455" s="45"/>
      <c r="HO455" s="45"/>
      <c r="HP455" s="45"/>
      <c r="HQ455" s="45"/>
      <c r="HR455" s="45"/>
      <c r="HS455" s="45"/>
      <c r="HT455" s="45"/>
      <c r="HU455" s="45"/>
      <c r="HV455" s="45"/>
      <c r="HW455" s="45"/>
      <c r="HX455" s="45"/>
      <c r="HY455" s="45"/>
    </row>
    <row r="456" spans="1:233" s="46" customFormat="1" ht="15" customHeight="1">
      <c r="A456" s="73" t="s">
        <v>44</v>
      </c>
      <c r="B456" s="26" t="s">
        <v>10</v>
      </c>
      <c r="C456" s="26" t="s">
        <v>13</v>
      </c>
      <c r="D456" s="26" t="s">
        <v>610</v>
      </c>
      <c r="E456" s="26" t="s">
        <v>67</v>
      </c>
      <c r="F456" s="26" t="s">
        <v>44</v>
      </c>
      <c r="G456" s="26" t="s">
        <v>399</v>
      </c>
      <c r="H456" s="26" t="s">
        <v>22</v>
      </c>
      <c r="I456" s="26" t="s">
        <v>641</v>
      </c>
      <c r="J456" s="26" t="s">
        <v>16</v>
      </c>
      <c r="K456" s="27" t="s">
        <v>73</v>
      </c>
      <c r="L456" s="26">
        <f t="shared" ref="L456:M456" si="41">L464+L472</f>
        <v>382</v>
      </c>
      <c r="M456" s="26">
        <f t="shared" si="41"/>
        <v>256</v>
      </c>
      <c r="N456" s="82">
        <f>Table1[[#This Row],[N HSV-1 Ab+]]*100/Table1[[#This Row],[N tested for HSV-1 Ab]]</f>
        <v>67.015706806282722</v>
      </c>
      <c r="O456" s="26">
        <f t="shared" ref="O456:P456" si="42">O464+O472</f>
        <v>382</v>
      </c>
      <c r="P456" s="26">
        <f t="shared" si="42"/>
        <v>127</v>
      </c>
      <c r="Q456" s="82">
        <f>Table1[[#This Row],[N HSV-2 Ab+]]*100/Table1[[#This Row],[N tested for HSV-2 Ab]]</f>
        <v>33.246073298429316</v>
      </c>
      <c r="R456" s="31">
        <v>28</v>
      </c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  <c r="BP456" s="45"/>
      <c r="BQ456" s="45"/>
      <c r="BR456" s="45"/>
      <c r="BS456" s="45"/>
      <c r="BT456" s="45"/>
      <c r="BU456" s="45"/>
      <c r="BV456" s="45"/>
      <c r="BW456" s="45"/>
      <c r="BX456" s="45"/>
      <c r="BY456" s="45"/>
      <c r="BZ456" s="45"/>
      <c r="CA456" s="45"/>
      <c r="CB456" s="45"/>
      <c r="CC456" s="45"/>
      <c r="CD456" s="45"/>
      <c r="CE456" s="45"/>
      <c r="CF456" s="45"/>
      <c r="CG456" s="45"/>
      <c r="CH456" s="45"/>
      <c r="CI456" s="45"/>
      <c r="CJ456" s="45"/>
      <c r="CK456" s="45"/>
      <c r="CL456" s="45"/>
      <c r="CM456" s="45"/>
      <c r="CN456" s="45"/>
      <c r="CO456" s="45"/>
      <c r="CP456" s="45"/>
      <c r="CQ456" s="45"/>
      <c r="CR456" s="45"/>
      <c r="CS456" s="45"/>
      <c r="CT456" s="45"/>
      <c r="CU456" s="45"/>
      <c r="CV456" s="45"/>
      <c r="CW456" s="45"/>
      <c r="CX456" s="45"/>
      <c r="CY456" s="45"/>
      <c r="CZ456" s="45"/>
      <c r="DA456" s="45"/>
      <c r="DB456" s="45"/>
      <c r="DC456" s="45"/>
      <c r="DD456" s="45"/>
      <c r="DE456" s="45"/>
      <c r="DF456" s="45"/>
      <c r="DG456" s="45"/>
      <c r="DH456" s="45"/>
      <c r="DI456" s="45"/>
      <c r="DJ456" s="45"/>
      <c r="DK456" s="45"/>
      <c r="DL456" s="45"/>
      <c r="DM456" s="45"/>
      <c r="DN456" s="45"/>
      <c r="DO456" s="45"/>
      <c r="DP456" s="45"/>
      <c r="DQ456" s="45"/>
      <c r="DR456" s="45"/>
      <c r="DS456" s="45"/>
      <c r="DT456" s="45"/>
      <c r="DU456" s="45"/>
      <c r="DV456" s="45"/>
      <c r="DW456" s="45"/>
      <c r="DX456" s="45"/>
      <c r="DY456" s="45"/>
      <c r="DZ456" s="45"/>
      <c r="EA456" s="45"/>
      <c r="EB456" s="45"/>
      <c r="EC456" s="45"/>
      <c r="ED456" s="45"/>
      <c r="EE456" s="45"/>
      <c r="EF456" s="45"/>
      <c r="EG456" s="45"/>
      <c r="EH456" s="45"/>
      <c r="EI456" s="45"/>
      <c r="EJ456" s="45"/>
      <c r="EK456" s="45"/>
      <c r="EL456" s="45"/>
      <c r="EM456" s="45"/>
      <c r="EN456" s="45"/>
      <c r="EO456" s="45"/>
      <c r="EP456" s="45"/>
      <c r="EQ456" s="45"/>
      <c r="ER456" s="45"/>
      <c r="ES456" s="45"/>
      <c r="ET456" s="45"/>
      <c r="EU456" s="45"/>
      <c r="EV456" s="45"/>
      <c r="EW456" s="45"/>
      <c r="EX456" s="45"/>
      <c r="EY456" s="45"/>
      <c r="EZ456" s="45"/>
      <c r="FA456" s="45"/>
      <c r="FB456" s="45"/>
      <c r="FC456" s="45"/>
      <c r="FD456" s="45"/>
      <c r="FE456" s="45"/>
      <c r="FF456" s="45"/>
      <c r="FG456" s="45"/>
      <c r="FH456" s="45"/>
      <c r="FI456" s="45"/>
      <c r="FJ456" s="45"/>
      <c r="FK456" s="45"/>
      <c r="FL456" s="45"/>
      <c r="FM456" s="45"/>
      <c r="FN456" s="45"/>
      <c r="FO456" s="45"/>
      <c r="FP456" s="45"/>
      <c r="FQ456" s="45"/>
      <c r="FR456" s="45"/>
      <c r="FS456" s="45"/>
      <c r="FT456" s="45"/>
      <c r="FU456" s="45"/>
      <c r="FV456" s="45"/>
      <c r="FW456" s="45"/>
      <c r="FX456" s="45"/>
      <c r="FY456" s="45"/>
      <c r="FZ456" s="45"/>
      <c r="GA456" s="45"/>
      <c r="GB456" s="45"/>
      <c r="GC456" s="45"/>
      <c r="GD456" s="45"/>
      <c r="GE456" s="45"/>
      <c r="GF456" s="45"/>
      <c r="GG456" s="45"/>
      <c r="GH456" s="45"/>
      <c r="GI456" s="45"/>
      <c r="GJ456" s="45"/>
      <c r="GK456" s="45"/>
      <c r="GL456" s="45"/>
      <c r="GM456" s="45"/>
      <c r="GN456" s="45"/>
      <c r="GO456" s="45"/>
      <c r="GP456" s="45"/>
      <c r="GQ456" s="45"/>
      <c r="GR456" s="45"/>
      <c r="GS456" s="45"/>
      <c r="GT456" s="45"/>
      <c r="GU456" s="45"/>
      <c r="GV456" s="45"/>
      <c r="GW456" s="45"/>
      <c r="GX456" s="45"/>
      <c r="GY456" s="45"/>
      <c r="GZ456" s="45"/>
      <c r="HA456" s="45"/>
      <c r="HB456" s="45"/>
      <c r="HC456" s="45"/>
      <c r="HD456" s="45"/>
      <c r="HE456" s="45"/>
      <c r="HF456" s="45"/>
      <c r="HG456" s="45"/>
      <c r="HH456" s="45"/>
      <c r="HI456" s="45"/>
      <c r="HJ456" s="45"/>
      <c r="HK456" s="45"/>
      <c r="HL456" s="45"/>
      <c r="HM456" s="45"/>
      <c r="HN456" s="45"/>
      <c r="HO456" s="45"/>
      <c r="HP456" s="45"/>
      <c r="HQ456" s="45"/>
      <c r="HR456" s="45"/>
      <c r="HS456" s="45"/>
      <c r="HT456" s="45"/>
      <c r="HU456" s="45"/>
      <c r="HV456" s="45"/>
      <c r="HW456" s="45"/>
      <c r="HX456" s="45"/>
      <c r="HY456" s="45"/>
    </row>
    <row r="457" spans="1:233" s="46" customFormat="1" ht="15" customHeight="1">
      <c r="A457" s="73" t="s">
        <v>44</v>
      </c>
      <c r="B457" s="26" t="s">
        <v>10</v>
      </c>
      <c r="C457" s="26" t="s">
        <v>13</v>
      </c>
      <c r="D457" s="26" t="s">
        <v>610</v>
      </c>
      <c r="E457" s="26" t="s">
        <v>67</v>
      </c>
      <c r="F457" s="26" t="s">
        <v>44</v>
      </c>
      <c r="G457" s="26" t="s">
        <v>399</v>
      </c>
      <c r="H457" s="26" t="s">
        <v>22</v>
      </c>
      <c r="I457" s="26" t="s">
        <v>641</v>
      </c>
      <c r="J457" s="26" t="s">
        <v>23</v>
      </c>
      <c r="K457" s="27" t="s">
        <v>142</v>
      </c>
      <c r="L457" s="26">
        <f>SUM(L458:L464)</f>
        <v>1741</v>
      </c>
      <c r="M457" s="26">
        <f>SUM(M458:M464)</f>
        <v>955</v>
      </c>
      <c r="N457" s="82">
        <f>Table1[[#This Row],[N HSV-1 Ab+]]*100/Table1[[#This Row],[N tested for HSV-1 Ab]]</f>
        <v>54.853532452613443</v>
      </c>
      <c r="O457" s="26">
        <f>SUM(O458:O464)</f>
        <v>1367</v>
      </c>
      <c r="P457" s="26">
        <f>SUM(P458:P464)</f>
        <v>189</v>
      </c>
      <c r="Q457" s="21">
        <f>Table1[[#This Row],[N HSV-2 Ab+]]*100/Table1[[#This Row],[N tested for HSV-2 Ab]]</f>
        <v>13.825896122896854</v>
      </c>
      <c r="R457" s="31">
        <v>28</v>
      </c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  <c r="BP457" s="45"/>
      <c r="BQ457" s="45"/>
      <c r="BR457" s="45"/>
      <c r="BS457" s="45"/>
      <c r="BT457" s="45"/>
      <c r="BU457" s="45"/>
      <c r="BV457" s="45"/>
      <c r="BW457" s="45"/>
      <c r="BX457" s="45"/>
      <c r="BY457" s="45"/>
      <c r="BZ457" s="45"/>
      <c r="CA457" s="45"/>
      <c r="CB457" s="45"/>
      <c r="CC457" s="45"/>
      <c r="CD457" s="45"/>
      <c r="CE457" s="45"/>
      <c r="CF457" s="45"/>
      <c r="CG457" s="45"/>
      <c r="CH457" s="45"/>
      <c r="CI457" s="45"/>
      <c r="CJ457" s="45"/>
      <c r="CK457" s="45"/>
      <c r="CL457" s="45"/>
      <c r="CM457" s="45"/>
      <c r="CN457" s="45"/>
      <c r="CO457" s="45"/>
      <c r="CP457" s="45"/>
      <c r="CQ457" s="45"/>
      <c r="CR457" s="45"/>
      <c r="CS457" s="45"/>
      <c r="CT457" s="45"/>
      <c r="CU457" s="45"/>
      <c r="CV457" s="45"/>
      <c r="CW457" s="45"/>
      <c r="CX457" s="45"/>
      <c r="CY457" s="45"/>
      <c r="CZ457" s="45"/>
      <c r="DA457" s="45"/>
      <c r="DB457" s="45"/>
      <c r="DC457" s="45"/>
      <c r="DD457" s="45"/>
      <c r="DE457" s="45"/>
      <c r="DF457" s="45"/>
      <c r="DG457" s="45"/>
      <c r="DH457" s="45"/>
      <c r="DI457" s="45"/>
      <c r="DJ457" s="45"/>
      <c r="DK457" s="45"/>
      <c r="DL457" s="45"/>
      <c r="DM457" s="45"/>
      <c r="DN457" s="45"/>
      <c r="DO457" s="45"/>
      <c r="DP457" s="45"/>
      <c r="DQ457" s="45"/>
      <c r="DR457" s="45"/>
      <c r="DS457" s="45"/>
      <c r="DT457" s="45"/>
      <c r="DU457" s="45"/>
      <c r="DV457" s="45"/>
      <c r="DW457" s="45"/>
      <c r="DX457" s="45"/>
      <c r="DY457" s="45"/>
      <c r="DZ457" s="45"/>
      <c r="EA457" s="45"/>
      <c r="EB457" s="45"/>
      <c r="EC457" s="45"/>
      <c r="ED457" s="45"/>
      <c r="EE457" s="45"/>
      <c r="EF457" s="45"/>
      <c r="EG457" s="45"/>
      <c r="EH457" s="45"/>
      <c r="EI457" s="45"/>
      <c r="EJ457" s="45"/>
      <c r="EK457" s="45"/>
      <c r="EL457" s="45"/>
      <c r="EM457" s="45"/>
      <c r="EN457" s="45"/>
      <c r="EO457" s="45"/>
      <c r="EP457" s="45"/>
      <c r="EQ457" s="45"/>
      <c r="ER457" s="45"/>
      <c r="ES457" s="45"/>
      <c r="ET457" s="45"/>
      <c r="EU457" s="45"/>
      <c r="EV457" s="45"/>
      <c r="EW457" s="45"/>
      <c r="EX457" s="45"/>
      <c r="EY457" s="45"/>
      <c r="EZ457" s="45"/>
      <c r="FA457" s="45"/>
      <c r="FB457" s="45"/>
      <c r="FC457" s="45"/>
      <c r="FD457" s="45"/>
      <c r="FE457" s="45"/>
      <c r="FF457" s="45"/>
      <c r="FG457" s="45"/>
      <c r="FH457" s="45"/>
      <c r="FI457" s="45"/>
      <c r="FJ457" s="45"/>
      <c r="FK457" s="45"/>
      <c r="FL457" s="45"/>
      <c r="FM457" s="45"/>
      <c r="FN457" s="45"/>
      <c r="FO457" s="45"/>
      <c r="FP457" s="45"/>
      <c r="FQ457" s="45"/>
      <c r="FR457" s="45"/>
      <c r="FS457" s="45"/>
      <c r="FT457" s="45"/>
      <c r="FU457" s="45"/>
      <c r="FV457" s="45"/>
      <c r="FW457" s="45"/>
      <c r="FX457" s="45"/>
      <c r="FY457" s="45"/>
      <c r="FZ457" s="45"/>
      <c r="GA457" s="45"/>
      <c r="GB457" s="45"/>
      <c r="GC457" s="45"/>
      <c r="GD457" s="45"/>
      <c r="GE457" s="45"/>
      <c r="GF457" s="45"/>
      <c r="GG457" s="45"/>
      <c r="GH457" s="45"/>
      <c r="GI457" s="45"/>
      <c r="GJ457" s="45"/>
      <c r="GK457" s="45"/>
      <c r="GL457" s="45"/>
      <c r="GM457" s="45"/>
      <c r="GN457" s="45"/>
      <c r="GO457" s="45"/>
      <c r="GP457" s="45"/>
      <c r="GQ457" s="45"/>
      <c r="GR457" s="45"/>
      <c r="GS457" s="45"/>
      <c r="GT457" s="45"/>
      <c r="GU457" s="45"/>
      <c r="GV457" s="45"/>
      <c r="GW457" s="45"/>
      <c r="GX457" s="45"/>
      <c r="GY457" s="45"/>
      <c r="GZ457" s="45"/>
      <c r="HA457" s="45"/>
      <c r="HB457" s="45"/>
      <c r="HC457" s="45"/>
      <c r="HD457" s="45"/>
      <c r="HE457" s="45"/>
      <c r="HF457" s="45"/>
      <c r="HG457" s="45"/>
      <c r="HH457" s="45"/>
      <c r="HI457" s="45"/>
      <c r="HJ457" s="45"/>
      <c r="HK457" s="45"/>
      <c r="HL457" s="45"/>
      <c r="HM457" s="45"/>
      <c r="HN457" s="45"/>
      <c r="HO457" s="45"/>
      <c r="HP457" s="45"/>
      <c r="HQ457" s="45"/>
      <c r="HR457" s="45"/>
      <c r="HS457" s="45"/>
      <c r="HT457" s="45"/>
      <c r="HU457" s="45"/>
      <c r="HV457" s="45"/>
      <c r="HW457" s="45"/>
      <c r="HX457" s="45"/>
      <c r="HY457" s="45"/>
    </row>
    <row r="458" spans="1:233" s="46" customFormat="1" ht="15" customHeight="1">
      <c r="A458" s="73" t="s">
        <v>44</v>
      </c>
      <c r="B458" s="26" t="s">
        <v>10</v>
      </c>
      <c r="C458" s="26" t="s">
        <v>13</v>
      </c>
      <c r="D458" s="26" t="s">
        <v>610</v>
      </c>
      <c r="E458" s="26" t="s">
        <v>67</v>
      </c>
      <c r="F458" s="26" t="s">
        <v>44</v>
      </c>
      <c r="G458" s="26" t="s">
        <v>399</v>
      </c>
      <c r="H458" s="26" t="s">
        <v>22</v>
      </c>
      <c r="I458" s="26" t="s">
        <v>641</v>
      </c>
      <c r="J458" s="26" t="s">
        <v>23</v>
      </c>
      <c r="K458" s="27" t="s">
        <v>24</v>
      </c>
      <c r="L458" s="26">
        <f>233+394</f>
        <v>627</v>
      </c>
      <c r="M458" s="28">
        <v>233</v>
      </c>
      <c r="N458" s="82">
        <f>37.16</f>
        <v>37.159999999999997</v>
      </c>
      <c r="O458" s="28">
        <v>256</v>
      </c>
      <c r="P458" s="28">
        <v>4</v>
      </c>
      <c r="Q458" s="21">
        <v>1.26</v>
      </c>
      <c r="R458" s="31">
        <v>28</v>
      </c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  <c r="BP458" s="45"/>
      <c r="BQ458" s="45"/>
      <c r="BR458" s="45"/>
      <c r="BS458" s="45"/>
      <c r="BT458" s="45"/>
      <c r="BU458" s="45"/>
      <c r="BV458" s="45"/>
      <c r="BW458" s="45"/>
      <c r="BX458" s="45"/>
      <c r="BY458" s="45"/>
      <c r="BZ458" s="45"/>
      <c r="CA458" s="45"/>
      <c r="CB458" s="45"/>
      <c r="CC458" s="45"/>
      <c r="CD458" s="45"/>
      <c r="CE458" s="45"/>
      <c r="CF458" s="45"/>
      <c r="CG458" s="45"/>
      <c r="CH458" s="45"/>
      <c r="CI458" s="45"/>
      <c r="CJ458" s="45"/>
      <c r="CK458" s="45"/>
      <c r="CL458" s="45"/>
      <c r="CM458" s="45"/>
      <c r="CN458" s="45"/>
      <c r="CO458" s="45"/>
      <c r="CP458" s="45"/>
      <c r="CQ458" s="45"/>
      <c r="CR458" s="45"/>
      <c r="CS458" s="45"/>
      <c r="CT458" s="45"/>
      <c r="CU458" s="45"/>
      <c r="CV458" s="45"/>
      <c r="CW458" s="45"/>
      <c r="CX458" s="45"/>
      <c r="CY458" s="45"/>
      <c r="CZ458" s="45"/>
      <c r="DA458" s="45"/>
      <c r="DB458" s="45"/>
      <c r="DC458" s="45"/>
      <c r="DD458" s="45"/>
      <c r="DE458" s="45"/>
      <c r="DF458" s="45"/>
      <c r="DG458" s="45"/>
      <c r="DH458" s="45"/>
      <c r="DI458" s="45"/>
      <c r="DJ458" s="45"/>
      <c r="DK458" s="45"/>
      <c r="DL458" s="45"/>
      <c r="DM458" s="45"/>
      <c r="DN458" s="45"/>
      <c r="DO458" s="45"/>
      <c r="DP458" s="45"/>
      <c r="DQ458" s="45"/>
      <c r="DR458" s="45"/>
      <c r="DS458" s="45"/>
      <c r="DT458" s="45"/>
      <c r="DU458" s="45"/>
      <c r="DV458" s="45"/>
      <c r="DW458" s="45"/>
      <c r="DX458" s="45"/>
      <c r="DY458" s="45"/>
      <c r="DZ458" s="45"/>
      <c r="EA458" s="45"/>
      <c r="EB458" s="45"/>
      <c r="EC458" s="45"/>
      <c r="ED458" s="45"/>
      <c r="EE458" s="45"/>
      <c r="EF458" s="45"/>
      <c r="EG458" s="45"/>
      <c r="EH458" s="45"/>
      <c r="EI458" s="45"/>
      <c r="EJ458" s="45"/>
      <c r="EK458" s="45"/>
      <c r="EL458" s="45"/>
      <c r="EM458" s="45"/>
      <c r="EN458" s="45"/>
      <c r="EO458" s="45"/>
      <c r="EP458" s="45"/>
      <c r="EQ458" s="45"/>
      <c r="ER458" s="45"/>
      <c r="ES458" s="45"/>
      <c r="ET458" s="45"/>
      <c r="EU458" s="45"/>
      <c r="EV458" s="45"/>
      <c r="EW458" s="45"/>
      <c r="EX458" s="45"/>
      <c r="EY458" s="45"/>
      <c r="EZ458" s="45"/>
      <c r="FA458" s="45"/>
      <c r="FB458" s="45"/>
      <c r="FC458" s="45"/>
      <c r="FD458" s="45"/>
      <c r="FE458" s="45"/>
      <c r="FF458" s="45"/>
      <c r="FG458" s="45"/>
      <c r="FH458" s="45"/>
      <c r="FI458" s="45"/>
      <c r="FJ458" s="45"/>
      <c r="FK458" s="45"/>
      <c r="FL458" s="45"/>
      <c r="FM458" s="45"/>
      <c r="FN458" s="45"/>
      <c r="FO458" s="45"/>
      <c r="FP458" s="45"/>
      <c r="FQ458" s="45"/>
      <c r="FR458" s="45"/>
      <c r="FS458" s="45"/>
      <c r="FT458" s="45"/>
      <c r="FU458" s="45"/>
      <c r="FV458" s="45"/>
      <c r="FW458" s="45"/>
      <c r="FX458" s="45"/>
      <c r="FY458" s="45"/>
      <c r="FZ458" s="45"/>
      <c r="GA458" s="45"/>
      <c r="GB458" s="45"/>
      <c r="GC458" s="45"/>
      <c r="GD458" s="45"/>
      <c r="GE458" s="45"/>
      <c r="GF458" s="45"/>
      <c r="GG458" s="45"/>
      <c r="GH458" s="45"/>
      <c r="GI458" s="45"/>
      <c r="GJ458" s="45"/>
      <c r="GK458" s="45"/>
      <c r="GL458" s="45"/>
      <c r="GM458" s="45"/>
      <c r="GN458" s="45"/>
      <c r="GO458" s="45"/>
      <c r="GP458" s="45"/>
      <c r="GQ458" s="45"/>
      <c r="GR458" s="45"/>
      <c r="GS458" s="45"/>
      <c r="GT458" s="45"/>
      <c r="GU458" s="45"/>
      <c r="GV458" s="45"/>
      <c r="GW458" s="45"/>
      <c r="GX458" s="45"/>
      <c r="GY458" s="45"/>
      <c r="GZ458" s="45"/>
      <c r="HA458" s="45"/>
      <c r="HB458" s="45"/>
      <c r="HC458" s="45"/>
      <c r="HD458" s="45"/>
      <c r="HE458" s="45"/>
      <c r="HF458" s="45"/>
      <c r="HG458" s="45"/>
      <c r="HH458" s="45"/>
      <c r="HI458" s="45"/>
      <c r="HJ458" s="45"/>
      <c r="HK458" s="45"/>
      <c r="HL458" s="45"/>
      <c r="HM458" s="45"/>
      <c r="HN458" s="45"/>
      <c r="HO458" s="45"/>
      <c r="HP458" s="45"/>
      <c r="HQ458" s="45"/>
      <c r="HR458" s="45"/>
      <c r="HS458" s="45"/>
      <c r="HT458" s="45"/>
      <c r="HU458" s="45"/>
      <c r="HV458" s="45"/>
      <c r="HW458" s="45"/>
      <c r="HX458" s="45"/>
      <c r="HY458" s="45"/>
    </row>
    <row r="459" spans="1:233" s="46" customFormat="1" ht="15" customHeight="1">
      <c r="A459" s="73" t="s">
        <v>44</v>
      </c>
      <c r="B459" s="26" t="s">
        <v>10</v>
      </c>
      <c r="C459" s="26" t="s">
        <v>13</v>
      </c>
      <c r="D459" s="26" t="s">
        <v>610</v>
      </c>
      <c r="E459" s="26" t="s">
        <v>67</v>
      </c>
      <c r="F459" s="26" t="s">
        <v>44</v>
      </c>
      <c r="G459" s="26" t="s">
        <v>399</v>
      </c>
      <c r="H459" s="26" t="s">
        <v>22</v>
      </c>
      <c r="I459" s="26" t="s">
        <v>641</v>
      </c>
      <c r="J459" s="26" t="s">
        <v>23</v>
      </c>
      <c r="K459" s="27" t="s">
        <v>25</v>
      </c>
      <c r="L459" s="26">
        <f>104+87</f>
        <v>191</v>
      </c>
      <c r="M459" s="28">
        <v>104</v>
      </c>
      <c r="N459" s="82">
        <v>54.45</v>
      </c>
      <c r="O459" s="28">
        <f>16+174</f>
        <v>190</v>
      </c>
      <c r="P459" s="28">
        <v>16</v>
      </c>
      <c r="Q459" s="21">
        <v>8.42</v>
      </c>
      <c r="R459" s="31">
        <v>28</v>
      </c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  <c r="BP459" s="45"/>
      <c r="BQ459" s="45"/>
      <c r="BR459" s="45"/>
      <c r="BS459" s="45"/>
      <c r="BT459" s="45"/>
      <c r="BU459" s="45"/>
      <c r="BV459" s="45"/>
      <c r="BW459" s="45"/>
      <c r="BX459" s="45"/>
      <c r="BY459" s="45"/>
      <c r="BZ459" s="45"/>
      <c r="CA459" s="45"/>
      <c r="CB459" s="45"/>
      <c r="CC459" s="45"/>
      <c r="CD459" s="45"/>
      <c r="CE459" s="45"/>
      <c r="CF459" s="45"/>
      <c r="CG459" s="45"/>
      <c r="CH459" s="45"/>
      <c r="CI459" s="45"/>
      <c r="CJ459" s="45"/>
      <c r="CK459" s="45"/>
      <c r="CL459" s="45"/>
      <c r="CM459" s="45"/>
      <c r="CN459" s="45"/>
      <c r="CO459" s="45"/>
      <c r="CP459" s="45"/>
      <c r="CQ459" s="45"/>
      <c r="CR459" s="45"/>
      <c r="CS459" s="45"/>
      <c r="CT459" s="45"/>
      <c r="CU459" s="45"/>
      <c r="CV459" s="45"/>
      <c r="CW459" s="45"/>
      <c r="CX459" s="45"/>
      <c r="CY459" s="45"/>
      <c r="CZ459" s="45"/>
      <c r="DA459" s="45"/>
      <c r="DB459" s="45"/>
      <c r="DC459" s="45"/>
      <c r="DD459" s="45"/>
      <c r="DE459" s="45"/>
      <c r="DF459" s="45"/>
      <c r="DG459" s="45"/>
      <c r="DH459" s="45"/>
      <c r="DI459" s="45"/>
      <c r="DJ459" s="45"/>
      <c r="DK459" s="45"/>
      <c r="DL459" s="45"/>
      <c r="DM459" s="45"/>
      <c r="DN459" s="45"/>
      <c r="DO459" s="45"/>
      <c r="DP459" s="45"/>
      <c r="DQ459" s="45"/>
      <c r="DR459" s="45"/>
      <c r="DS459" s="45"/>
      <c r="DT459" s="45"/>
      <c r="DU459" s="45"/>
      <c r="DV459" s="45"/>
      <c r="DW459" s="45"/>
      <c r="DX459" s="45"/>
      <c r="DY459" s="45"/>
      <c r="DZ459" s="45"/>
      <c r="EA459" s="45"/>
      <c r="EB459" s="45"/>
      <c r="EC459" s="45"/>
      <c r="ED459" s="45"/>
      <c r="EE459" s="45"/>
      <c r="EF459" s="45"/>
      <c r="EG459" s="45"/>
      <c r="EH459" s="45"/>
      <c r="EI459" s="45"/>
      <c r="EJ459" s="45"/>
      <c r="EK459" s="45"/>
      <c r="EL459" s="45"/>
      <c r="EM459" s="45"/>
      <c r="EN459" s="45"/>
      <c r="EO459" s="45"/>
      <c r="EP459" s="45"/>
      <c r="EQ459" s="45"/>
      <c r="ER459" s="45"/>
      <c r="ES459" s="45"/>
      <c r="ET459" s="45"/>
      <c r="EU459" s="45"/>
      <c r="EV459" s="45"/>
      <c r="EW459" s="45"/>
      <c r="EX459" s="45"/>
      <c r="EY459" s="45"/>
      <c r="EZ459" s="45"/>
      <c r="FA459" s="45"/>
      <c r="FB459" s="45"/>
      <c r="FC459" s="45"/>
      <c r="FD459" s="45"/>
      <c r="FE459" s="45"/>
      <c r="FF459" s="45"/>
      <c r="FG459" s="45"/>
      <c r="FH459" s="45"/>
      <c r="FI459" s="45"/>
      <c r="FJ459" s="45"/>
      <c r="FK459" s="45"/>
      <c r="FL459" s="45"/>
      <c r="FM459" s="45"/>
      <c r="FN459" s="45"/>
      <c r="FO459" s="45"/>
      <c r="FP459" s="45"/>
      <c r="FQ459" s="45"/>
      <c r="FR459" s="45"/>
      <c r="FS459" s="45"/>
      <c r="FT459" s="45"/>
      <c r="FU459" s="45"/>
      <c r="FV459" s="45"/>
      <c r="FW459" s="45"/>
      <c r="FX459" s="45"/>
      <c r="FY459" s="45"/>
      <c r="FZ459" s="45"/>
      <c r="GA459" s="45"/>
      <c r="GB459" s="45"/>
      <c r="GC459" s="45"/>
      <c r="GD459" s="45"/>
      <c r="GE459" s="45"/>
      <c r="GF459" s="45"/>
      <c r="GG459" s="45"/>
      <c r="GH459" s="45"/>
      <c r="GI459" s="45"/>
      <c r="GJ459" s="45"/>
      <c r="GK459" s="45"/>
      <c r="GL459" s="45"/>
      <c r="GM459" s="45"/>
      <c r="GN459" s="45"/>
      <c r="GO459" s="45"/>
      <c r="GP459" s="45"/>
      <c r="GQ459" s="45"/>
      <c r="GR459" s="45"/>
      <c r="GS459" s="45"/>
      <c r="GT459" s="45"/>
      <c r="GU459" s="45"/>
      <c r="GV459" s="45"/>
      <c r="GW459" s="45"/>
      <c r="GX459" s="45"/>
      <c r="GY459" s="45"/>
      <c r="GZ459" s="45"/>
      <c r="HA459" s="45"/>
      <c r="HB459" s="45"/>
      <c r="HC459" s="45"/>
      <c r="HD459" s="45"/>
      <c r="HE459" s="45"/>
      <c r="HF459" s="45"/>
      <c r="HG459" s="45"/>
      <c r="HH459" s="45"/>
      <c r="HI459" s="45"/>
      <c r="HJ459" s="45"/>
      <c r="HK459" s="45"/>
      <c r="HL459" s="45"/>
      <c r="HM459" s="45"/>
      <c r="HN459" s="45"/>
      <c r="HO459" s="45"/>
      <c r="HP459" s="45"/>
      <c r="HQ459" s="45"/>
      <c r="HR459" s="45"/>
      <c r="HS459" s="45"/>
      <c r="HT459" s="45"/>
      <c r="HU459" s="45"/>
      <c r="HV459" s="45"/>
      <c r="HW459" s="45"/>
      <c r="HX459" s="45"/>
      <c r="HY459" s="45"/>
    </row>
    <row r="460" spans="1:233" s="46" customFormat="1" ht="15" customHeight="1">
      <c r="A460" s="73" t="s">
        <v>44</v>
      </c>
      <c r="B460" s="26" t="s">
        <v>10</v>
      </c>
      <c r="C460" s="26" t="s">
        <v>13</v>
      </c>
      <c r="D460" s="26" t="s">
        <v>610</v>
      </c>
      <c r="E460" s="26" t="s">
        <v>67</v>
      </c>
      <c r="F460" s="26" t="s">
        <v>44</v>
      </c>
      <c r="G460" s="26" t="s">
        <v>399</v>
      </c>
      <c r="H460" s="26" t="s">
        <v>22</v>
      </c>
      <c r="I460" s="26" t="s">
        <v>641</v>
      </c>
      <c r="J460" s="26" t="s">
        <v>23</v>
      </c>
      <c r="K460" s="27" t="s">
        <v>26</v>
      </c>
      <c r="L460" s="26">
        <v>180</v>
      </c>
      <c r="M460" s="28">
        <v>113</v>
      </c>
      <c r="N460" s="82">
        <v>62.78</v>
      </c>
      <c r="O460" s="28">
        <v>180</v>
      </c>
      <c r="P460" s="28">
        <v>12</v>
      </c>
      <c r="Q460" s="21">
        <v>6.67</v>
      </c>
      <c r="R460" s="31">
        <v>28</v>
      </c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  <c r="BP460" s="45"/>
      <c r="BQ460" s="45"/>
      <c r="BR460" s="45"/>
      <c r="BS460" s="45"/>
      <c r="BT460" s="45"/>
      <c r="BU460" s="45"/>
      <c r="BV460" s="45"/>
      <c r="BW460" s="45"/>
      <c r="BX460" s="45"/>
      <c r="BY460" s="45"/>
      <c r="BZ460" s="45"/>
      <c r="CA460" s="45"/>
      <c r="CB460" s="45"/>
      <c r="CC460" s="45"/>
      <c r="CD460" s="45"/>
      <c r="CE460" s="45"/>
      <c r="CF460" s="45"/>
      <c r="CG460" s="45"/>
      <c r="CH460" s="45"/>
      <c r="CI460" s="45"/>
      <c r="CJ460" s="45"/>
      <c r="CK460" s="45"/>
      <c r="CL460" s="45"/>
      <c r="CM460" s="45"/>
      <c r="CN460" s="45"/>
      <c r="CO460" s="45"/>
      <c r="CP460" s="45"/>
      <c r="CQ460" s="45"/>
      <c r="CR460" s="45"/>
      <c r="CS460" s="45"/>
      <c r="CT460" s="45"/>
      <c r="CU460" s="45"/>
      <c r="CV460" s="45"/>
      <c r="CW460" s="45"/>
      <c r="CX460" s="45"/>
      <c r="CY460" s="45"/>
      <c r="CZ460" s="45"/>
      <c r="DA460" s="45"/>
      <c r="DB460" s="45"/>
      <c r="DC460" s="45"/>
      <c r="DD460" s="45"/>
      <c r="DE460" s="45"/>
      <c r="DF460" s="45"/>
      <c r="DG460" s="45"/>
      <c r="DH460" s="45"/>
      <c r="DI460" s="45"/>
      <c r="DJ460" s="45"/>
      <c r="DK460" s="45"/>
      <c r="DL460" s="45"/>
      <c r="DM460" s="45"/>
      <c r="DN460" s="45"/>
      <c r="DO460" s="45"/>
      <c r="DP460" s="45"/>
      <c r="DQ460" s="45"/>
      <c r="DR460" s="45"/>
      <c r="DS460" s="45"/>
      <c r="DT460" s="45"/>
      <c r="DU460" s="45"/>
      <c r="DV460" s="45"/>
      <c r="DW460" s="45"/>
      <c r="DX460" s="45"/>
      <c r="DY460" s="45"/>
      <c r="DZ460" s="45"/>
      <c r="EA460" s="45"/>
      <c r="EB460" s="45"/>
      <c r="EC460" s="45"/>
      <c r="ED460" s="45"/>
      <c r="EE460" s="45"/>
      <c r="EF460" s="45"/>
      <c r="EG460" s="45"/>
      <c r="EH460" s="45"/>
      <c r="EI460" s="45"/>
      <c r="EJ460" s="45"/>
      <c r="EK460" s="45"/>
      <c r="EL460" s="45"/>
      <c r="EM460" s="45"/>
      <c r="EN460" s="45"/>
      <c r="EO460" s="45"/>
      <c r="EP460" s="45"/>
      <c r="EQ460" s="45"/>
      <c r="ER460" s="45"/>
      <c r="ES460" s="45"/>
      <c r="ET460" s="45"/>
      <c r="EU460" s="45"/>
      <c r="EV460" s="45"/>
      <c r="EW460" s="45"/>
      <c r="EX460" s="45"/>
      <c r="EY460" s="45"/>
      <c r="EZ460" s="45"/>
      <c r="FA460" s="45"/>
      <c r="FB460" s="45"/>
      <c r="FC460" s="45"/>
      <c r="FD460" s="45"/>
      <c r="FE460" s="45"/>
      <c r="FF460" s="45"/>
      <c r="FG460" s="45"/>
      <c r="FH460" s="45"/>
      <c r="FI460" s="45"/>
      <c r="FJ460" s="45"/>
      <c r="FK460" s="45"/>
      <c r="FL460" s="45"/>
      <c r="FM460" s="45"/>
      <c r="FN460" s="45"/>
      <c r="FO460" s="45"/>
      <c r="FP460" s="45"/>
      <c r="FQ460" s="45"/>
      <c r="FR460" s="45"/>
      <c r="FS460" s="45"/>
      <c r="FT460" s="45"/>
      <c r="FU460" s="45"/>
      <c r="FV460" s="45"/>
      <c r="FW460" s="45"/>
      <c r="FX460" s="45"/>
      <c r="FY460" s="45"/>
      <c r="FZ460" s="45"/>
      <c r="GA460" s="45"/>
      <c r="GB460" s="45"/>
      <c r="GC460" s="45"/>
      <c r="GD460" s="45"/>
      <c r="GE460" s="45"/>
      <c r="GF460" s="45"/>
      <c r="GG460" s="45"/>
      <c r="GH460" s="45"/>
      <c r="GI460" s="45"/>
      <c r="GJ460" s="45"/>
      <c r="GK460" s="45"/>
      <c r="GL460" s="45"/>
      <c r="GM460" s="45"/>
      <c r="GN460" s="45"/>
      <c r="GO460" s="45"/>
      <c r="GP460" s="45"/>
      <c r="GQ460" s="45"/>
      <c r="GR460" s="45"/>
      <c r="GS460" s="45"/>
      <c r="GT460" s="45"/>
      <c r="GU460" s="45"/>
      <c r="GV460" s="45"/>
      <c r="GW460" s="45"/>
      <c r="GX460" s="45"/>
      <c r="GY460" s="45"/>
      <c r="GZ460" s="45"/>
      <c r="HA460" s="45"/>
      <c r="HB460" s="45"/>
      <c r="HC460" s="45"/>
      <c r="HD460" s="45"/>
      <c r="HE460" s="45"/>
      <c r="HF460" s="45"/>
      <c r="HG460" s="45"/>
      <c r="HH460" s="45"/>
      <c r="HI460" s="45"/>
      <c r="HJ460" s="45"/>
      <c r="HK460" s="45"/>
      <c r="HL460" s="45"/>
      <c r="HM460" s="45"/>
      <c r="HN460" s="45"/>
      <c r="HO460" s="45"/>
      <c r="HP460" s="45"/>
      <c r="HQ460" s="45"/>
      <c r="HR460" s="45"/>
      <c r="HS460" s="45"/>
      <c r="HT460" s="45"/>
      <c r="HU460" s="45"/>
      <c r="HV460" s="45"/>
      <c r="HW460" s="45"/>
      <c r="HX460" s="45"/>
      <c r="HY460" s="45"/>
    </row>
    <row r="461" spans="1:233" s="46" customFormat="1" ht="15" customHeight="1">
      <c r="A461" s="73" t="s">
        <v>44</v>
      </c>
      <c r="B461" s="26" t="s">
        <v>10</v>
      </c>
      <c r="C461" s="26" t="s">
        <v>13</v>
      </c>
      <c r="D461" s="26" t="s">
        <v>610</v>
      </c>
      <c r="E461" s="26" t="s">
        <v>67</v>
      </c>
      <c r="F461" s="26" t="s">
        <v>44</v>
      </c>
      <c r="G461" s="26" t="s">
        <v>399</v>
      </c>
      <c r="H461" s="26" t="s">
        <v>22</v>
      </c>
      <c r="I461" s="26" t="s">
        <v>641</v>
      </c>
      <c r="J461" s="26" t="s">
        <v>23</v>
      </c>
      <c r="K461" s="27" t="s">
        <v>27</v>
      </c>
      <c r="L461" s="26">
        <v>171</v>
      </c>
      <c r="M461" s="28">
        <v>107</v>
      </c>
      <c r="N461" s="82">
        <v>62.57</v>
      </c>
      <c r="O461" s="28">
        <v>170</v>
      </c>
      <c r="P461" s="28">
        <v>29</v>
      </c>
      <c r="Q461" s="21">
        <v>17.059999999999999</v>
      </c>
      <c r="R461" s="31">
        <v>28</v>
      </c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  <c r="BP461" s="45"/>
      <c r="BQ461" s="45"/>
      <c r="BR461" s="45"/>
      <c r="BS461" s="45"/>
      <c r="BT461" s="45"/>
      <c r="BU461" s="45"/>
      <c r="BV461" s="45"/>
      <c r="BW461" s="45"/>
      <c r="BX461" s="45"/>
      <c r="BY461" s="45"/>
      <c r="BZ461" s="45"/>
      <c r="CA461" s="45"/>
      <c r="CB461" s="45"/>
      <c r="CC461" s="45"/>
      <c r="CD461" s="45"/>
      <c r="CE461" s="45"/>
      <c r="CF461" s="45"/>
      <c r="CG461" s="45"/>
      <c r="CH461" s="45"/>
      <c r="CI461" s="45"/>
      <c r="CJ461" s="45"/>
      <c r="CK461" s="45"/>
      <c r="CL461" s="45"/>
      <c r="CM461" s="45"/>
      <c r="CN461" s="45"/>
      <c r="CO461" s="45"/>
      <c r="CP461" s="45"/>
      <c r="CQ461" s="45"/>
      <c r="CR461" s="45"/>
      <c r="CS461" s="45"/>
      <c r="CT461" s="45"/>
      <c r="CU461" s="45"/>
      <c r="CV461" s="45"/>
      <c r="CW461" s="45"/>
      <c r="CX461" s="45"/>
      <c r="CY461" s="45"/>
      <c r="CZ461" s="45"/>
      <c r="DA461" s="45"/>
      <c r="DB461" s="45"/>
      <c r="DC461" s="45"/>
      <c r="DD461" s="45"/>
      <c r="DE461" s="45"/>
      <c r="DF461" s="45"/>
      <c r="DG461" s="45"/>
      <c r="DH461" s="45"/>
      <c r="DI461" s="45"/>
      <c r="DJ461" s="45"/>
      <c r="DK461" s="45"/>
      <c r="DL461" s="45"/>
      <c r="DM461" s="45"/>
      <c r="DN461" s="45"/>
      <c r="DO461" s="45"/>
      <c r="DP461" s="45"/>
      <c r="DQ461" s="45"/>
      <c r="DR461" s="45"/>
      <c r="DS461" s="45"/>
      <c r="DT461" s="45"/>
      <c r="DU461" s="45"/>
      <c r="DV461" s="45"/>
      <c r="DW461" s="45"/>
      <c r="DX461" s="45"/>
      <c r="DY461" s="45"/>
      <c r="DZ461" s="45"/>
      <c r="EA461" s="45"/>
      <c r="EB461" s="45"/>
      <c r="EC461" s="45"/>
      <c r="ED461" s="45"/>
      <c r="EE461" s="45"/>
      <c r="EF461" s="45"/>
      <c r="EG461" s="45"/>
      <c r="EH461" s="45"/>
      <c r="EI461" s="45"/>
      <c r="EJ461" s="45"/>
      <c r="EK461" s="45"/>
      <c r="EL461" s="45"/>
      <c r="EM461" s="45"/>
      <c r="EN461" s="45"/>
      <c r="EO461" s="45"/>
      <c r="EP461" s="45"/>
      <c r="EQ461" s="45"/>
      <c r="ER461" s="45"/>
      <c r="ES461" s="45"/>
      <c r="ET461" s="45"/>
      <c r="EU461" s="45"/>
      <c r="EV461" s="45"/>
      <c r="EW461" s="45"/>
      <c r="EX461" s="45"/>
      <c r="EY461" s="45"/>
      <c r="EZ461" s="45"/>
      <c r="FA461" s="45"/>
      <c r="FB461" s="45"/>
      <c r="FC461" s="45"/>
      <c r="FD461" s="45"/>
      <c r="FE461" s="45"/>
      <c r="FF461" s="45"/>
      <c r="FG461" s="45"/>
      <c r="FH461" s="45"/>
      <c r="FI461" s="45"/>
      <c r="FJ461" s="45"/>
      <c r="FK461" s="45"/>
      <c r="FL461" s="45"/>
      <c r="FM461" s="45"/>
      <c r="FN461" s="45"/>
      <c r="FO461" s="45"/>
      <c r="FP461" s="45"/>
      <c r="FQ461" s="45"/>
      <c r="FR461" s="45"/>
      <c r="FS461" s="45"/>
      <c r="FT461" s="45"/>
      <c r="FU461" s="45"/>
      <c r="FV461" s="45"/>
      <c r="FW461" s="45"/>
      <c r="FX461" s="45"/>
      <c r="FY461" s="45"/>
      <c r="FZ461" s="45"/>
      <c r="GA461" s="45"/>
      <c r="GB461" s="45"/>
      <c r="GC461" s="45"/>
      <c r="GD461" s="45"/>
      <c r="GE461" s="45"/>
      <c r="GF461" s="45"/>
      <c r="GG461" s="45"/>
      <c r="GH461" s="45"/>
      <c r="GI461" s="45"/>
      <c r="GJ461" s="45"/>
      <c r="GK461" s="45"/>
      <c r="GL461" s="45"/>
      <c r="GM461" s="45"/>
      <c r="GN461" s="45"/>
      <c r="GO461" s="45"/>
      <c r="GP461" s="45"/>
      <c r="GQ461" s="45"/>
      <c r="GR461" s="45"/>
      <c r="GS461" s="45"/>
      <c r="GT461" s="45"/>
      <c r="GU461" s="45"/>
      <c r="GV461" s="45"/>
      <c r="GW461" s="45"/>
      <c r="GX461" s="45"/>
      <c r="GY461" s="45"/>
      <c r="GZ461" s="45"/>
      <c r="HA461" s="45"/>
      <c r="HB461" s="45"/>
      <c r="HC461" s="45"/>
      <c r="HD461" s="45"/>
      <c r="HE461" s="45"/>
      <c r="HF461" s="45"/>
      <c r="HG461" s="45"/>
      <c r="HH461" s="45"/>
      <c r="HI461" s="45"/>
      <c r="HJ461" s="45"/>
      <c r="HK461" s="45"/>
      <c r="HL461" s="45"/>
      <c r="HM461" s="45"/>
      <c r="HN461" s="45"/>
      <c r="HO461" s="45"/>
      <c r="HP461" s="45"/>
      <c r="HQ461" s="45"/>
      <c r="HR461" s="45"/>
      <c r="HS461" s="45"/>
      <c r="HT461" s="45"/>
      <c r="HU461" s="45"/>
      <c r="HV461" s="45"/>
      <c r="HW461" s="45"/>
      <c r="HX461" s="45"/>
      <c r="HY461" s="45"/>
    </row>
    <row r="462" spans="1:233" s="46" customFormat="1" ht="15" customHeight="1">
      <c r="A462" s="73" t="s">
        <v>44</v>
      </c>
      <c r="B462" s="26" t="s">
        <v>10</v>
      </c>
      <c r="C462" s="26" t="s">
        <v>13</v>
      </c>
      <c r="D462" s="26" t="s">
        <v>610</v>
      </c>
      <c r="E462" s="26" t="s">
        <v>67</v>
      </c>
      <c r="F462" s="26" t="s">
        <v>44</v>
      </c>
      <c r="G462" s="26" t="s">
        <v>399</v>
      </c>
      <c r="H462" s="26" t="s">
        <v>22</v>
      </c>
      <c r="I462" s="26" t="s">
        <v>641</v>
      </c>
      <c r="J462" s="26" t="s">
        <v>23</v>
      </c>
      <c r="K462" s="27" t="s">
        <v>28</v>
      </c>
      <c r="L462" s="26">
        <v>191</v>
      </c>
      <c r="M462" s="28">
        <v>137</v>
      </c>
      <c r="N462" s="82">
        <v>71.73</v>
      </c>
      <c r="O462" s="28">
        <v>190</v>
      </c>
      <c r="P462" s="28">
        <v>36</v>
      </c>
      <c r="Q462" s="21">
        <v>18.95</v>
      </c>
      <c r="R462" s="31">
        <v>28</v>
      </c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  <c r="BP462" s="45"/>
      <c r="BQ462" s="45"/>
      <c r="BR462" s="45"/>
      <c r="BS462" s="45"/>
      <c r="BT462" s="45"/>
      <c r="BU462" s="45"/>
      <c r="BV462" s="45"/>
      <c r="BW462" s="45"/>
      <c r="BX462" s="45"/>
      <c r="BY462" s="45"/>
      <c r="BZ462" s="45"/>
      <c r="CA462" s="45"/>
      <c r="CB462" s="45"/>
      <c r="CC462" s="45"/>
      <c r="CD462" s="45"/>
      <c r="CE462" s="45"/>
      <c r="CF462" s="45"/>
      <c r="CG462" s="45"/>
      <c r="CH462" s="45"/>
      <c r="CI462" s="45"/>
      <c r="CJ462" s="45"/>
      <c r="CK462" s="45"/>
      <c r="CL462" s="45"/>
      <c r="CM462" s="45"/>
      <c r="CN462" s="45"/>
      <c r="CO462" s="45"/>
      <c r="CP462" s="45"/>
      <c r="CQ462" s="45"/>
      <c r="CR462" s="45"/>
      <c r="CS462" s="45"/>
      <c r="CT462" s="45"/>
      <c r="CU462" s="45"/>
      <c r="CV462" s="45"/>
      <c r="CW462" s="45"/>
      <c r="CX462" s="45"/>
      <c r="CY462" s="45"/>
      <c r="CZ462" s="45"/>
      <c r="DA462" s="45"/>
      <c r="DB462" s="45"/>
      <c r="DC462" s="45"/>
      <c r="DD462" s="45"/>
      <c r="DE462" s="45"/>
      <c r="DF462" s="45"/>
      <c r="DG462" s="45"/>
      <c r="DH462" s="45"/>
      <c r="DI462" s="45"/>
      <c r="DJ462" s="45"/>
      <c r="DK462" s="45"/>
      <c r="DL462" s="45"/>
      <c r="DM462" s="45"/>
      <c r="DN462" s="45"/>
      <c r="DO462" s="45"/>
      <c r="DP462" s="45"/>
      <c r="DQ462" s="45"/>
      <c r="DR462" s="45"/>
      <c r="DS462" s="45"/>
      <c r="DT462" s="45"/>
      <c r="DU462" s="45"/>
      <c r="DV462" s="45"/>
      <c r="DW462" s="45"/>
      <c r="DX462" s="45"/>
      <c r="DY462" s="45"/>
      <c r="DZ462" s="45"/>
      <c r="EA462" s="45"/>
      <c r="EB462" s="45"/>
      <c r="EC462" s="45"/>
      <c r="ED462" s="45"/>
      <c r="EE462" s="45"/>
      <c r="EF462" s="45"/>
      <c r="EG462" s="45"/>
      <c r="EH462" s="45"/>
      <c r="EI462" s="45"/>
      <c r="EJ462" s="45"/>
      <c r="EK462" s="45"/>
      <c r="EL462" s="45"/>
      <c r="EM462" s="45"/>
      <c r="EN462" s="45"/>
      <c r="EO462" s="45"/>
      <c r="EP462" s="45"/>
      <c r="EQ462" s="45"/>
      <c r="ER462" s="45"/>
      <c r="ES462" s="45"/>
      <c r="ET462" s="45"/>
      <c r="EU462" s="45"/>
      <c r="EV462" s="45"/>
      <c r="EW462" s="45"/>
      <c r="EX462" s="45"/>
      <c r="EY462" s="45"/>
      <c r="EZ462" s="45"/>
      <c r="FA462" s="45"/>
      <c r="FB462" s="45"/>
      <c r="FC462" s="45"/>
      <c r="FD462" s="45"/>
      <c r="FE462" s="45"/>
      <c r="FF462" s="45"/>
      <c r="FG462" s="45"/>
      <c r="FH462" s="45"/>
      <c r="FI462" s="45"/>
      <c r="FJ462" s="45"/>
      <c r="FK462" s="45"/>
      <c r="FL462" s="45"/>
      <c r="FM462" s="45"/>
      <c r="FN462" s="45"/>
      <c r="FO462" s="45"/>
      <c r="FP462" s="45"/>
      <c r="FQ462" s="45"/>
      <c r="FR462" s="45"/>
      <c r="FS462" s="45"/>
      <c r="FT462" s="45"/>
      <c r="FU462" s="45"/>
      <c r="FV462" s="45"/>
      <c r="FW462" s="45"/>
      <c r="FX462" s="45"/>
      <c r="FY462" s="45"/>
      <c r="FZ462" s="45"/>
      <c r="GA462" s="45"/>
      <c r="GB462" s="45"/>
      <c r="GC462" s="45"/>
      <c r="GD462" s="45"/>
      <c r="GE462" s="45"/>
      <c r="GF462" s="45"/>
      <c r="GG462" s="45"/>
      <c r="GH462" s="45"/>
      <c r="GI462" s="45"/>
      <c r="GJ462" s="45"/>
      <c r="GK462" s="45"/>
      <c r="GL462" s="45"/>
      <c r="GM462" s="45"/>
      <c r="GN462" s="45"/>
      <c r="GO462" s="45"/>
      <c r="GP462" s="45"/>
      <c r="GQ462" s="45"/>
      <c r="GR462" s="45"/>
      <c r="GS462" s="45"/>
      <c r="GT462" s="45"/>
      <c r="GU462" s="45"/>
      <c r="GV462" s="45"/>
      <c r="GW462" s="45"/>
      <c r="GX462" s="45"/>
      <c r="GY462" s="45"/>
      <c r="GZ462" s="45"/>
      <c r="HA462" s="45"/>
      <c r="HB462" s="45"/>
      <c r="HC462" s="45"/>
      <c r="HD462" s="45"/>
      <c r="HE462" s="45"/>
      <c r="HF462" s="45"/>
      <c r="HG462" s="45"/>
      <c r="HH462" s="45"/>
      <c r="HI462" s="45"/>
      <c r="HJ462" s="45"/>
      <c r="HK462" s="45"/>
      <c r="HL462" s="45"/>
      <c r="HM462" s="45"/>
      <c r="HN462" s="45"/>
      <c r="HO462" s="45"/>
      <c r="HP462" s="45"/>
      <c r="HQ462" s="45"/>
      <c r="HR462" s="45"/>
      <c r="HS462" s="45"/>
      <c r="HT462" s="45"/>
      <c r="HU462" s="45"/>
      <c r="HV462" s="45"/>
      <c r="HW462" s="45"/>
      <c r="HX462" s="45"/>
      <c r="HY462" s="45"/>
    </row>
    <row r="463" spans="1:233" s="46" customFormat="1" ht="15" customHeight="1">
      <c r="A463" s="73" t="s">
        <v>44</v>
      </c>
      <c r="B463" s="26" t="s">
        <v>10</v>
      </c>
      <c r="C463" s="26" t="s">
        <v>13</v>
      </c>
      <c r="D463" s="26" t="s">
        <v>610</v>
      </c>
      <c r="E463" s="26" t="s">
        <v>67</v>
      </c>
      <c r="F463" s="26" t="s">
        <v>44</v>
      </c>
      <c r="G463" s="26" t="s">
        <v>399</v>
      </c>
      <c r="H463" s="26" t="s">
        <v>22</v>
      </c>
      <c r="I463" s="26" t="s">
        <v>641</v>
      </c>
      <c r="J463" s="26" t="s">
        <v>23</v>
      </c>
      <c r="K463" s="27" t="s">
        <v>72</v>
      </c>
      <c r="L463" s="26">
        <v>189</v>
      </c>
      <c r="M463" s="28">
        <v>133</v>
      </c>
      <c r="N463" s="82">
        <v>70.37</v>
      </c>
      <c r="O463" s="28">
        <v>189</v>
      </c>
      <c r="P463" s="28">
        <v>44</v>
      </c>
      <c r="Q463" s="21">
        <v>23.28</v>
      </c>
      <c r="R463" s="31">
        <v>28</v>
      </c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  <c r="BP463" s="45"/>
      <c r="BQ463" s="45"/>
      <c r="BR463" s="45"/>
      <c r="BS463" s="45"/>
      <c r="BT463" s="45"/>
      <c r="BU463" s="45"/>
      <c r="BV463" s="45"/>
      <c r="BW463" s="45"/>
      <c r="BX463" s="45"/>
      <c r="BY463" s="45"/>
      <c r="BZ463" s="45"/>
      <c r="CA463" s="45"/>
      <c r="CB463" s="45"/>
      <c r="CC463" s="45"/>
      <c r="CD463" s="45"/>
      <c r="CE463" s="45"/>
      <c r="CF463" s="45"/>
      <c r="CG463" s="45"/>
      <c r="CH463" s="45"/>
      <c r="CI463" s="45"/>
      <c r="CJ463" s="45"/>
      <c r="CK463" s="45"/>
      <c r="CL463" s="45"/>
      <c r="CM463" s="45"/>
      <c r="CN463" s="45"/>
      <c r="CO463" s="45"/>
      <c r="CP463" s="45"/>
      <c r="CQ463" s="45"/>
      <c r="CR463" s="45"/>
      <c r="CS463" s="45"/>
      <c r="CT463" s="45"/>
      <c r="CU463" s="45"/>
      <c r="CV463" s="45"/>
      <c r="CW463" s="45"/>
      <c r="CX463" s="45"/>
      <c r="CY463" s="45"/>
      <c r="CZ463" s="45"/>
      <c r="DA463" s="45"/>
      <c r="DB463" s="45"/>
      <c r="DC463" s="45"/>
      <c r="DD463" s="45"/>
      <c r="DE463" s="45"/>
      <c r="DF463" s="45"/>
      <c r="DG463" s="45"/>
      <c r="DH463" s="45"/>
      <c r="DI463" s="45"/>
      <c r="DJ463" s="45"/>
      <c r="DK463" s="45"/>
      <c r="DL463" s="45"/>
      <c r="DM463" s="45"/>
      <c r="DN463" s="45"/>
      <c r="DO463" s="45"/>
      <c r="DP463" s="45"/>
      <c r="DQ463" s="45"/>
      <c r="DR463" s="45"/>
      <c r="DS463" s="45"/>
      <c r="DT463" s="45"/>
      <c r="DU463" s="45"/>
      <c r="DV463" s="45"/>
      <c r="DW463" s="45"/>
      <c r="DX463" s="45"/>
      <c r="DY463" s="45"/>
      <c r="DZ463" s="45"/>
      <c r="EA463" s="45"/>
      <c r="EB463" s="45"/>
      <c r="EC463" s="45"/>
      <c r="ED463" s="45"/>
      <c r="EE463" s="45"/>
      <c r="EF463" s="45"/>
      <c r="EG463" s="45"/>
      <c r="EH463" s="45"/>
      <c r="EI463" s="45"/>
      <c r="EJ463" s="45"/>
      <c r="EK463" s="45"/>
      <c r="EL463" s="45"/>
      <c r="EM463" s="45"/>
      <c r="EN463" s="45"/>
      <c r="EO463" s="45"/>
      <c r="EP463" s="45"/>
      <c r="EQ463" s="45"/>
      <c r="ER463" s="45"/>
      <c r="ES463" s="45"/>
      <c r="ET463" s="45"/>
      <c r="EU463" s="45"/>
      <c r="EV463" s="45"/>
      <c r="EW463" s="45"/>
      <c r="EX463" s="45"/>
      <c r="EY463" s="45"/>
      <c r="EZ463" s="45"/>
      <c r="FA463" s="45"/>
      <c r="FB463" s="45"/>
      <c r="FC463" s="45"/>
      <c r="FD463" s="45"/>
      <c r="FE463" s="45"/>
      <c r="FF463" s="45"/>
      <c r="FG463" s="45"/>
      <c r="FH463" s="45"/>
      <c r="FI463" s="45"/>
      <c r="FJ463" s="45"/>
      <c r="FK463" s="45"/>
      <c r="FL463" s="45"/>
      <c r="FM463" s="45"/>
      <c r="FN463" s="45"/>
      <c r="FO463" s="45"/>
      <c r="FP463" s="45"/>
      <c r="FQ463" s="45"/>
      <c r="FR463" s="45"/>
      <c r="FS463" s="45"/>
      <c r="FT463" s="45"/>
      <c r="FU463" s="45"/>
      <c r="FV463" s="45"/>
      <c r="FW463" s="45"/>
      <c r="FX463" s="45"/>
      <c r="FY463" s="45"/>
      <c r="FZ463" s="45"/>
      <c r="GA463" s="45"/>
      <c r="GB463" s="45"/>
      <c r="GC463" s="45"/>
      <c r="GD463" s="45"/>
      <c r="GE463" s="45"/>
      <c r="GF463" s="45"/>
      <c r="GG463" s="45"/>
      <c r="GH463" s="45"/>
      <c r="GI463" s="45"/>
      <c r="GJ463" s="45"/>
      <c r="GK463" s="45"/>
      <c r="GL463" s="45"/>
      <c r="GM463" s="45"/>
      <c r="GN463" s="45"/>
      <c r="GO463" s="45"/>
      <c r="GP463" s="45"/>
      <c r="GQ463" s="45"/>
      <c r="GR463" s="45"/>
      <c r="GS463" s="45"/>
      <c r="GT463" s="45"/>
      <c r="GU463" s="45"/>
      <c r="GV463" s="45"/>
      <c r="GW463" s="45"/>
      <c r="GX463" s="45"/>
      <c r="GY463" s="45"/>
      <c r="GZ463" s="45"/>
      <c r="HA463" s="45"/>
      <c r="HB463" s="45"/>
      <c r="HC463" s="45"/>
      <c r="HD463" s="45"/>
      <c r="HE463" s="45"/>
      <c r="HF463" s="45"/>
      <c r="HG463" s="45"/>
      <c r="HH463" s="45"/>
      <c r="HI463" s="45"/>
      <c r="HJ463" s="45"/>
      <c r="HK463" s="45"/>
      <c r="HL463" s="45"/>
      <c r="HM463" s="45"/>
      <c r="HN463" s="45"/>
      <c r="HO463" s="45"/>
      <c r="HP463" s="45"/>
      <c r="HQ463" s="45"/>
      <c r="HR463" s="45"/>
      <c r="HS463" s="45"/>
      <c r="HT463" s="45"/>
      <c r="HU463" s="45"/>
      <c r="HV463" s="45"/>
      <c r="HW463" s="45"/>
      <c r="HX463" s="45"/>
      <c r="HY463" s="45"/>
    </row>
    <row r="464" spans="1:233" s="46" customFormat="1" ht="15" customHeight="1">
      <c r="A464" s="73" t="s">
        <v>44</v>
      </c>
      <c r="B464" s="26" t="s">
        <v>10</v>
      </c>
      <c r="C464" s="26" t="s">
        <v>13</v>
      </c>
      <c r="D464" s="26" t="s">
        <v>610</v>
      </c>
      <c r="E464" s="26" t="s">
        <v>67</v>
      </c>
      <c r="F464" s="26" t="s">
        <v>44</v>
      </c>
      <c r="G464" s="26" t="s">
        <v>399</v>
      </c>
      <c r="H464" s="26" t="s">
        <v>22</v>
      </c>
      <c r="I464" s="26" t="s">
        <v>641</v>
      </c>
      <c r="J464" s="26" t="s">
        <v>23</v>
      </c>
      <c r="K464" s="27" t="s">
        <v>73</v>
      </c>
      <c r="L464" s="26">
        <v>192</v>
      </c>
      <c r="M464" s="28">
        <v>128</v>
      </c>
      <c r="N464" s="82">
        <v>66.67</v>
      </c>
      <c r="O464" s="28">
        <v>192</v>
      </c>
      <c r="P464" s="28">
        <v>48</v>
      </c>
      <c r="Q464" s="21">
        <v>25</v>
      </c>
      <c r="R464" s="31">
        <v>28</v>
      </c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  <c r="BP464" s="45"/>
      <c r="BQ464" s="45"/>
      <c r="BR464" s="45"/>
      <c r="BS464" s="45"/>
      <c r="BT464" s="45"/>
      <c r="BU464" s="45"/>
      <c r="BV464" s="45"/>
      <c r="BW464" s="45"/>
      <c r="BX464" s="45"/>
      <c r="BY464" s="45"/>
      <c r="BZ464" s="45"/>
      <c r="CA464" s="45"/>
      <c r="CB464" s="45"/>
      <c r="CC464" s="45"/>
      <c r="CD464" s="45"/>
      <c r="CE464" s="45"/>
      <c r="CF464" s="45"/>
      <c r="CG464" s="45"/>
      <c r="CH464" s="45"/>
      <c r="CI464" s="45"/>
      <c r="CJ464" s="45"/>
      <c r="CK464" s="45"/>
      <c r="CL464" s="45"/>
      <c r="CM464" s="45"/>
      <c r="CN464" s="45"/>
      <c r="CO464" s="45"/>
      <c r="CP464" s="45"/>
      <c r="CQ464" s="45"/>
      <c r="CR464" s="45"/>
      <c r="CS464" s="45"/>
      <c r="CT464" s="45"/>
      <c r="CU464" s="45"/>
      <c r="CV464" s="45"/>
      <c r="CW464" s="45"/>
      <c r="CX464" s="45"/>
      <c r="CY464" s="45"/>
      <c r="CZ464" s="45"/>
      <c r="DA464" s="45"/>
      <c r="DB464" s="45"/>
      <c r="DC464" s="45"/>
      <c r="DD464" s="45"/>
      <c r="DE464" s="45"/>
      <c r="DF464" s="45"/>
      <c r="DG464" s="45"/>
      <c r="DH464" s="45"/>
      <c r="DI464" s="45"/>
      <c r="DJ464" s="45"/>
      <c r="DK464" s="45"/>
      <c r="DL464" s="45"/>
      <c r="DM464" s="45"/>
      <c r="DN464" s="45"/>
      <c r="DO464" s="45"/>
      <c r="DP464" s="45"/>
      <c r="DQ464" s="45"/>
      <c r="DR464" s="45"/>
      <c r="DS464" s="45"/>
      <c r="DT464" s="45"/>
      <c r="DU464" s="45"/>
      <c r="DV464" s="45"/>
      <c r="DW464" s="45"/>
      <c r="DX464" s="45"/>
      <c r="DY464" s="45"/>
      <c r="DZ464" s="45"/>
      <c r="EA464" s="45"/>
      <c r="EB464" s="45"/>
      <c r="EC464" s="45"/>
      <c r="ED464" s="45"/>
      <c r="EE464" s="45"/>
      <c r="EF464" s="45"/>
      <c r="EG464" s="45"/>
      <c r="EH464" s="45"/>
      <c r="EI464" s="45"/>
      <c r="EJ464" s="45"/>
      <c r="EK464" s="45"/>
      <c r="EL464" s="45"/>
      <c r="EM464" s="45"/>
      <c r="EN464" s="45"/>
      <c r="EO464" s="45"/>
      <c r="EP464" s="45"/>
      <c r="EQ464" s="45"/>
      <c r="ER464" s="45"/>
      <c r="ES464" s="45"/>
      <c r="ET464" s="45"/>
      <c r="EU464" s="45"/>
      <c r="EV464" s="45"/>
      <c r="EW464" s="45"/>
      <c r="EX464" s="45"/>
      <c r="EY464" s="45"/>
      <c r="EZ464" s="45"/>
      <c r="FA464" s="45"/>
      <c r="FB464" s="45"/>
      <c r="FC464" s="45"/>
      <c r="FD464" s="45"/>
      <c r="FE464" s="45"/>
      <c r="FF464" s="45"/>
      <c r="FG464" s="45"/>
      <c r="FH464" s="45"/>
      <c r="FI464" s="45"/>
      <c r="FJ464" s="45"/>
      <c r="FK464" s="45"/>
      <c r="FL464" s="45"/>
      <c r="FM464" s="45"/>
      <c r="FN464" s="45"/>
      <c r="FO464" s="45"/>
      <c r="FP464" s="45"/>
      <c r="FQ464" s="45"/>
      <c r="FR464" s="45"/>
      <c r="FS464" s="45"/>
      <c r="FT464" s="45"/>
      <c r="FU464" s="45"/>
      <c r="FV464" s="45"/>
      <c r="FW464" s="45"/>
      <c r="FX464" s="45"/>
      <c r="FY464" s="45"/>
      <c r="FZ464" s="45"/>
      <c r="GA464" s="45"/>
      <c r="GB464" s="45"/>
      <c r="GC464" s="45"/>
      <c r="GD464" s="45"/>
      <c r="GE464" s="45"/>
      <c r="GF464" s="45"/>
      <c r="GG464" s="45"/>
      <c r="GH464" s="45"/>
      <c r="GI464" s="45"/>
      <c r="GJ464" s="45"/>
      <c r="GK464" s="45"/>
      <c r="GL464" s="45"/>
      <c r="GM464" s="45"/>
      <c r="GN464" s="45"/>
      <c r="GO464" s="45"/>
      <c r="GP464" s="45"/>
      <c r="GQ464" s="45"/>
      <c r="GR464" s="45"/>
      <c r="GS464" s="45"/>
      <c r="GT464" s="45"/>
      <c r="GU464" s="45"/>
      <c r="GV464" s="45"/>
      <c r="GW464" s="45"/>
      <c r="GX464" s="45"/>
      <c r="GY464" s="45"/>
      <c r="GZ464" s="45"/>
      <c r="HA464" s="45"/>
      <c r="HB464" s="45"/>
      <c r="HC464" s="45"/>
      <c r="HD464" s="45"/>
      <c r="HE464" s="45"/>
      <c r="HF464" s="45"/>
      <c r="HG464" s="45"/>
      <c r="HH464" s="45"/>
      <c r="HI464" s="45"/>
      <c r="HJ464" s="45"/>
      <c r="HK464" s="45"/>
      <c r="HL464" s="45"/>
      <c r="HM464" s="45"/>
      <c r="HN464" s="45"/>
      <c r="HO464" s="45"/>
      <c r="HP464" s="45"/>
      <c r="HQ464" s="45"/>
      <c r="HR464" s="45"/>
      <c r="HS464" s="45"/>
      <c r="HT464" s="45"/>
      <c r="HU464" s="45"/>
      <c r="HV464" s="45"/>
      <c r="HW464" s="45"/>
      <c r="HX464" s="45"/>
      <c r="HY464" s="45"/>
    </row>
    <row r="465" spans="1:233" s="46" customFormat="1" ht="15" customHeight="1">
      <c r="A465" s="73" t="s">
        <v>44</v>
      </c>
      <c r="B465" s="26" t="s">
        <v>10</v>
      </c>
      <c r="C465" s="26" t="s">
        <v>13</v>
      </c>
      <c r="D465" s="26" t="s">
        <v>610</v>
      </c>
      <c r="E465" s="26" t="s">
        <v>67</v>
      </c>
      <c r="F465" s="26" t="s">
        <v>44</v>
      </c>
      <c r="G465" s="26" t="s">
        <v>399</v>
      </c>
      <c r="H465" s="26" t="s">
        <v>22</v>
      </c>
      <c r="I465" s="26" t="s">
        <v>641</v>
      </c>
      <c r="J465" s="26" t="s">
        <v>11</v>
      </c>
      <c r="K465" s="27" t="s">
        <v>142</v>
      </c>
      <c r="L465" s="26">
        <f>SUM(L466:L472)</f>
        <v>1966</v>
      </c>
      <c r="M465" s="26">
        <f>SUM(M466:M472)</f>
        <v>1142</v>
      </c>
      <c r="N465" s="82">
        <f>Table1[[#This Row],[N HSV-1 Ab+]]*100/Table1[[#This Row],[N tested for HSV-1 Ab]]</f>
        <v>58.087487283825027</v>
      </c>
      <c r="O465" s="26">
        <f>SUM(O466:O472)</f>
        <v>1593</v>
      </c>
      <c r="P465" s="26">
        <f>SUM(P466:P472)</f>
        <v>362</v>
      </c>
      <c r="Q465" s="21">
        <f>Table1[[#This Row],[N HSV-2 Ab+]]*100/Table1[[#This Row],[N tested for HSV-2 Ab]]</f>
        <v>22.724419334588827</v>
      </c>
      <c r="R465" s="31">
        <v>28</v>
      </c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  <c r="BP465" s="45"/>
      <c r="BQ465" s="45"/>
      <c r="BR465" s="45"/>
      <c r="BS465" s="45"/>
      <c r="BT465" s="45"/>
      <c r="BU465" s="45"/>
      <c r="BV465" s="45"/>
      <c r="BW465" s="45"/>
      <c r="BX465" s="45"/>
      <c r="BY465" s="45"/>
      <c r="BZ465" s="45"/>
      <c r="CA465" s="45"/>
      <c r="CB465" s="45"/>
      <c r="CC465" s="45"/>
      <c r="CD465" s="45"/>
      <c r="CE465" s="45"/>
      <c r="CF465" s="45"/>
      <c r="CG465" s="45"/>
      <c r="CH465" s="45"/>
      <c r="CI465" s="45"/>
      <c r="CJ465" s="45"/>
      <c r="CK465" s="45"/>
      <c r="CL465" s="45"/>
      <c r="CM465" s="45"/>
      <c r="CN465" s="45"/>
      <c r="CO465" s="45"/>
      <c r="CP465" s="45"/>
      <c r="CQ465" s="45"/>
      <c r="CR465" s="45"/>
      <c r="CS465" s="45"/>
      <c r="CT465" s="45"/>
      <c r="CU465" s="45"/>
      <c r="CV465" s="45"/>
      <c r="CW465" s="45"/>
      <c r="CX465" s="45"/>
      <c r="CY465" s="45"/>
      <c r="CZ465" s="45"/>
      <c r="DA465" s="45"/>
      <c r="DB465" s="45"/>
      <c r="DC465" s="45"/>
      <c r="DD465" s="45"/>
      <c r="DE465" s="45"/>
      <c r="DF465" s="45"/>
      <c r="DG465" s="45"/>
      <c r="DH465" s="45"/>
      <c r="DI465" s="45"/>
      <c r="DJ465" s="45"/>
      <c r="DK465" s="45"/>
      <c r="DL465" s="45"/>
      <c r="DM465" s="45"/>
      <c r="DN465" s="45"/>
      <c r="DO465" s="45"/>
      <c r="DP465" s="45"/>
      <c r="DQ465" s="45"/>
      <c r="DR465" s="45"/>
      <c r="DS465" s="45"/>
      <c r="DT465" s="45"/>
      <c r="DU465" s="45"/>
      <c r="DV465" s="45"/>
      <c r="DW465" s="45"/>
      <c r="DX465" s="45"/>
      <c r="DY465" s="45"/>
      <c r="DZ465" s="45"/>
      <c r="EA465" s="45"/>
      <c r="EB465" s="45"/>
      <c r="EC465" s="45"/>
      <c r="ED465" s="45"/>
      <c r="EE465" s="45"/>
      <c r="EF465" s="45"/>
      <c r="EG465" s="45"/>
      <c r="EH465" s="45"/>
      <c r="EI465" s="45"/>
      <c r="EJ465" s="45"/>
      <c r="EK465" s="45"/>
      <c r="EL465" s="45"/>
      <c r="EM465" s="45"/>
      <c r="EN465" s="45"/>
      <c r="EO465" s="45"/>
      <c r="EP465" s="45"/>
      <c r="EQ465" s="45"/>
      <c r="ER465" s="45"/>
      <c r="ES465" s="45"/>
      <c r="ET465" s="45"/>
      <c r="EU465" s="45"/>
      <c r="EV465" s="45"/>
      <c r="EW465" s="45"/>
      <c r="EX465" s="45"/>
      <c r="EY465" s="45"/>
      <c r="EZ465" s="45"/>
      <c r="FA465" s="45"/>
      <c r="FB465" s="45"/>
      <c r="FC465" s="45"/>
      <c r="FD465" s="45"/>
      <c r="FE465" s="45"/>
      <c r="FF465" s="45"/>
      <c r="FG465" s="45"/>
      <c r="FH465" s="45"/>
      <c r="FI465" s="45"/>
      <c r="FJ465" s="45"/>
      <c r="FK465" s="45"/>
      <c r="FL465" s="45"/>
      <c r="FM465" s="45"/>
      <c r="FN465" s="45"/>
      <c r="FO465" s="45"/>
      <c r="FP465" s="45"/>
      <c r="FQ465" s="45"/>
      <c r="FR465" s="45"/>
      <c r="FS465" s="45"/>
      <c r="FT465" s="45"/>
      <c r="FU465" s="45"/>
      <c r="FV465" s="45"/>
      <c r="FW465" s="45"/>
      <c r="FX465" s="45"/>
      <c r="FY465" s="45"/>
      <c r="FZ465" s="45"/>
      <c r="GA465" s="45"/>
      <c r="GB465" s="45"/>
      <c r="GC465" s="45"/>
      <c r="GD465" s="45"/>
      <c r="GE465" s="45"/>
      <c r="GF465" s="45"/>
      <c r="GG465" s="45"/>
      <c r="GH465" s="45"/>
      <c r="GI465" s="45"/>
      <c r="GJ465" s="45"/>
      <c r="GK465" s="45"/>
      <c r="GL465" s="45"/>
      <c r="GM465" s="45"/>
      <c r="GN465" s="45"/>
      <c r="GO465" s="45"/>
      <c r="GP465" s="45"/>
      <c r="GQ465" s="45"/>
      <c r="GR465" s="45"/>
      <c r="GS465" s="45"/>
      <c r="GT465" s="45"/>
      <c r="GU465" s="45"/>
      <c r="GV465" s="45"/>
      <c r="GW465" s="45"/>
      <c r="GX465" s="45"/>
      <c r="GY465" s="45"/>
      <c r="GZ465" s="45"/>
      <c r="HA465" s="45"/>
      <c r="HB465" s="45"/>
      <c r="HC465" s="45"/>
      <c r="HD465" s="45"/>
      <c r="HE465" s="45"/>
      <c r="HF465" s="45"/>
      <c r="HG465" s="45"/>
      <c r="HH465" s="45"/>
      <c r="HI465" s="45"/>
      <c r="HJ465" s="45"/>
      <c r="HK465" s="45"/>
      <c r="HL465" s="45"/>
      <c r="HM465" s="45"/>
      <c r="HN465" s="45"/>
      <c r="HO465" s="45"/>
      <c r="HP465" s="45"/>
      <c r="HQ465" s="45"/>
      <c r="HR465" s="45"/>
      <c r="HS465" s="45"/>
      <c r="HT465" s="45"/>
      <c r="HU465" s="45"/>
      <c r="HV465" s="45"/>
      <c r="HW465" s="45"/>
      <c r="HX465" s="45"/>
      <c r="HY465" s="45"/>
    </row>
    <row r="466" spans="1:233" s="46" customFormat="1" ht="15" customHeight="1">
      <c r="A466" s="73" t="s">
        <v>44</v>
      </c>
      <c r="B466" s="26" t="s">
        <v>10</v>
      </c>
      <c r="C466" s="26" t="s">
        <v>13</v>
      </c>
      <c r="D466" s="26" t="s">
        <v>610</v>
      </c>
      <c r="E466" s="26" t="s">
        <v>67</v>
      </c>
      <c r="F466" s="26" t="s">
        <v>44</v>
      </c>
      <c r="G466" s="26" t="s">
        <v>399</v>
      </c>
      <c r="H466" s="26" t="s">
        <v>22</v>
      </c>
      <c r="I466" s="26" t="s">
        <v>641</v>
      </c>
      <c r="J466" s="26" t="s">
        <v>11</v>
      </c>
      <c r="K466" s="27" t="s">
        <v>24</v>
      </c>
      <c r="L466" s="26">
        <v>623</v>
      </c>
      <c r="M466" s="28">
        <v>271</v>
      </c>
      <c r="N466" s="82">
        <v>43.5</v>
      </c>
      <c r="O466" s="28">
        <v>251</v>
      </c>
      <c r="P466" s="28">
        <v>8</v>
      </c>
      <c r="Q466" s="21">
        <v>3.19</v>
      </c>
      <c r="R466" s="31">
        <v>28</v>
      </c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  <c r="BP466" s="45"/>
      <c r="BQ466" s="45"/>
      <c r="BR466" s="45"/>
      <c r="BS466" s="45"/>
      <c r="BT466" s="45"/>
      <c r="BU466" s="45"/>
      <c r="BV466" s="45"/>
      <c r="BW466" s="45"/>
      <c r="BX466" s="45"/>
      <c r="BY466" s="45"/>
      <c r="BZ466" s="45"/>
      <c r="CA466" s="45"/>
      <c r="CB466" s="45"/>
      <c r="CC466" s="45"/>
      <c r="CD466" s="45"/>
      <c r="CE466" s="45"/>
      <c r="CF466" s="45"/>
      <c r="CG466" s="45"/>
      <c r="CH466" s="45"/>
      <c r="CI466" s="45"/>
      <c r="CJ466" s="45"/>
      <c r="CK466" s="45"/>
      <c r="CL466" s="45"/>
      <c r="CM466" s="45"/>
      <c r="CN466" s="45"/>
      <c r="CO466" s="45"/>
      <c r="CP466" s="45"/>
      <c r="CQ466" s="45"/>
      <c r="CR466" s="45"/>
      <c r="CS466" s="45"/>
      <c r="CT466" s="45"/>
      <c r="CU466" s="45"/>
      <c r="CV466" s="45"/>
      <c r="CW466" s="45"/>
      <c r="CX466" s="45"/>
      <c r="CY466" s="45"/>
      <c r="CZ466" s="45"/>
      <c r="DA466" s="45"/>
      <c r="DB466" s="45"/>
      <c r="DC466" s="45"/>
      <c r="DD466" s="45"/>
      <c r="DE466" s="45"/>
      <c r="DF466" s="45"/>
      <c r="DG466" s="45"/>
      <c r="DH466" s="45"/>
      <c r="DI466" s="45"/>
      <c r="DJ466" s="45"/>
      <c r="DK466" s="45"/>
      <c r="DL466" s="45"/>
      <c r="DM466" s="45"/>
      <c r="DN466" s="45"/>
      <c r="DO466" s="45"/>
      <c r="DP466" s="45"/>
      <c r="DQ466" s="45"/>
      <c r="DR466" s="45"/>
      <c r="DS466" s="45"/>
      <c r="DT466" s="45"/>
      <c r="DU466" s="45"/>
      <c r="DV466" s="45"/>
      <c r="DW466" s="45"/>
      <c r="DX466" s="45"/>
      <c r="DY466" s="45"/>
      <c r="DZ466" s="45"/>
      <c r="EA466" s="45"/>
      <c r="EB466" s="45"/>
      <c r="EC466" s="45"/>
      <c r="ED466" s="45"/>
      <c r="EE466" s="45"/>
      <c r="EF466" s="45"/>
      <c r="EG466" s="45"/>
      <c r="EH466" s="45"/>
      <c r="EI466" s="45"/>
      <c r="EJ466" s="45"/>
      <c r="EK466" s="45"/>
      <c r="EL466" s="45"/>
      <c r="EM466" s="45"/>
      <c r="EN466" s="45"/>
      <c r="EO466" s="45"/>
      <c r="EP466" s="45"/>
      <c r="EQ466" s="45"/>
      <c r="ER466" s="45"/>
      <c r="ES466" s="45"/>
      <c r="ET466" s="45"/>
      <c r="EU466" s="45"/>
      <c r="EV466" s="45"/>
      <c r="EW466" s="45"/>
      <c r="EX466" s="45"/>
      <c r="EY466" s="45"/>
      <c r="EZ466" s="45"/>
      <c r="FA466" s="45"/>
      <c r="FB466" s="45"/>
      <c r="FC466" s="45"/>
      <c r="FD466" s="45"/>
      <c r="FE466" s="45"/>
      <c r="FF466" s="45"/>
      <c r="FG466" s="45"/>
      <c r="FH466" s="45"/>
      <c r="FI466" s="45"/>
      <c r="FJ466" s="45"/>
      <c r="FK466" s="45"/>
      <c r="FL466" s="45"/>
      <c r="FM466" s="45"/>
      <c r="FN466" s="45"/>
      <c r="FO466" s="45"/>
      <c r="FP466" s="45"/>
      <c r="FQ466" s="45"/>
      <c r="FR466" s="45"/>
      <c r="FS466" s="45"/>
      <c r="FT466" s="45"/>
      <c r="FU466" s="45"/>
      <c r="FV466" s="45"/>
      <c r="FW466" s="45"/>
      <c r="FX466" s="45"/>
      <c r="FY466" s="45"/>
      <c r="FZ466" s="45"/>
      <c r="GA466" s="45"/>
      <c r="GB466" s="45"/>
      <c r="GC466" s="45"/>
      <c r="GD466" s="45"/>
      <c r="GE466" s="45"/>
      <c r="GF466" s="45"/>
      <c r="GG466" s="45"/>
      <c r="GH466" s="45"/>
      <c r="GI466" s="45"/>
      <c r="GJ466" s="45"/>
      <c r="GK466" s="45"/>
      <c r="GL466" s="45"/>
      <c r="GM466" s="45"/>
      <c r="GN466" s="45"/>
      <c r="GO466" s="45"/>
      <c r="GP466" s="45"/>
      <c r="GQ466" s="45"/>
      <c r="GR466" s="45"/>
      <c r="GS466" s="45"/>
      <c r="GT466" s="45"/>
      <c r="GU466" s="45"/>
      <c r="GV466" s="45"/>
      <c r="GW466" s="45"/>
      <c r="GX466" s="45"/>
      <c r="GY466" s="45"/>
      <c r="GZ466" s="45"/>
      <c r="HA466" s="45"/>
      <c r="HB466" s="45"/>
      <c r="HC466" s="45"/>
      <c r="HD466" s="45"/>
      <c r="HE466" s="45"/>
      <c r="HF466" s="45"/>
      <c r="HG466" s="45"/>
      <c r="HH466" s="45"/>
      <c r="HI466" s="45"/>
      <c r="HJ466" s="45"/>
      <c r="HK466" s="45"/>
      <c r="HL466" s="45"/>
      <c r="HM466" s="45"/>
      <c r="HN466" s="45"/>
      <c r="HO466" s="45"/>
      <c r="HP466" s="45"/>
      <c r="HQ466" s="45"/>
      <c r="HR466" s="45"/>
      <c r="HS466" s="45"/>
      <c r="HT466" s="45"/>
      <c r="HU466" s="45"/>
      <c r="HV466" s="45"/>
      <c r="HW466" s="45"/>
      <c r="HX466" s="45"/>
      <c r="HY466" s="45"/>
    </row>
    <row r="467" spans="1:233" s="46" customFormat="1" ht="15" customHeight="1">
      <c r="A467" s="73" t="s">
        <v>44</v>
      </c>
      <c r="B467" s="26" t="s">
        <v>10</v>
      </c>
      <c r="C467" s="26" t="s">
        <v>13</v>
      </c>
      <c r="D467" s="26" t="s">
        <v>610</v>
      </c>
      <c r="E467" s="26" t="s">
        <v>67</v>
      </c>
      <c r="F467" s="26" t="s">
        <v>44</v>
      </c>
      <c r="G467" s="26" t="s">
        <v>399</v>
      </c>
      <c r="H467" s="26" t="s">
        <v>22</v>
      </c>
      <c r="I467" s="26" t="s">
        <v>641</v>
      </c>
      <c r="J467" s="26" t="s">
        <v>11</v>
      </c>
      <c r="K467" s="27" t="s">
        <v>25</v>
      </c>
      <c r="L467" s="26">
        <v>274</v>
      </c>
      <c r="M467" s="28">
        <v>163</v>
      </c>
      <c r="N467" s="82">
        <v>59.49</v>
      </c>
      <c r="O467" s="28">
        <v>273</v>
      </c>
      <c r="P467" s="28">
        <v>31</v>
      </c>
      <c r="Q467" s="21">
        <v>11.36</v>
      </c>
      <c r="R467" s="31">
        <v>28</v>
      </c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  <c r="BP467" s="45"/>
      <c r="BQ467" s="45"/>
      <c r="BR467" s="45"/>
      <c r="BS467" s="45"/>
      <c r="BT467" s="45"/>
      <c r="BU467" s="45"/>
      <c r="BV467" s="45"/>
      <c r="BW467" s="45"/>
      <c r="BX467" s="45"/>
      <c r="BY467" s="45"/>
      <c r="BZ467" s="45"/>
      <c r="CA467" s="45"/>
      <c r="CB467" s="45"/>
      <c r="CC467" s="45"/>
      <c r="CD467" s="45"/>
      <c r="CE467" s="45"/>
      <c r="CF467" s="45"/>
      <c r="CG467" s="45"/>
      <c r="CH467" s="45"/>
      <c r="CI467" s="45"/>
      <c r="CJ467" s="45"/>
      <c r="CK467" s="45"/>
      <c r="CL467" s="45"/>
      <c r="CM467" s="45"/>
      <c r="CN467" s="45"/>
      <c r="CO467" s="45"/>
      <c r="CP467" s="45"/>
      <c r="CQ467" s="45"/>
      <c r="CR467" s="45"/>
      <c r="CS467" s="45"/>
      <c r="CT467" s="45"/>
      <c r="CU467" s="45"/>
      <c r="CV467" s="45"/>
      <c r="CW467" s="45"/>
      <c r="CX467" s="45"/>
      <c r="CY467" s="45"/>
      <c r="CZ467" s="45"/>
      <c r="DA467" s="45"/>
      <c r="DB467" s="45"/>
      <c r="DC467" s="45"/>
      <c r="DD467" s="45"/>
      <c r="DE467" s="45"/>
      <c r="DF467" s="45"/>
      <c r="DG467" s="45"/>
      <c r="DH467" s="45"/>
      <c r="DI467" s="45"/>
      <c r="DJ467" s="45"/>
      <c r="DK467" s="45"/>
      <c r="DL467" s="45"/>
      <c r="DM467" s="45"/>
      <c r="DN467" s="45"/>
      <c r="DO467" s="45"/>
      <c r="DP467" s="45"/>
      <c r="DQ467" s="45"/>
      <c r="DR467" s="45"/>
      <c r="DS467" s="45"/>
      <c r="DT467" s="45"/>
      <c r="DU467" s="45"/>
      <c r="DV467" s="45"/>
      <c r="DW467" s="45"/>
      <c r="DX467" s="45"/>
      <c r="DY467" s="45"/>
      <c r="DZ467" s="45"/>
      <c r="EA467" s="45"/>
      <c r="EB467" s="45"/>
      <c r="EC467" s="45"/>
      <c r="ED467" s="45"/>
      <c r="EE467" s="45"/>
      <c r="EF467" s="45"/>
      <c r="EG467" s="45"/>
      <c r="EH467" s="45"/>
      <c r="EI467" s="45"/>
      <c r="EJ467" s="45"/>
      <c r="EK467" s="45"/>
      <c r="EL467" s="45"/>
      <c r="EM467" s="45"/>
      <c r="EN467" s="45"/>
      <c r="EO467" s="45"/>
      <c r="EP467" s="45"/>
      <c r="EQ467" s="45"/>
      <c r="ER467" s="45"/>
      <c r="ES467" s="45"/>
      <c r="ET467" s="45"/>
      <c r="EU467" s="45"/>
      <c r="EV467" s="45"/>
      <c r="EW467" s="45"/>
      <c r="EX467" s="45"/>
      <c r="EY467" s="45"/>
      <c r="EZ467" s="45"/>
      <c r="FA467" s="45"/>
      <c r="FB467" s="45"/>
      <c r="FC467" s="45"/>
      <c r="FD467" s="45"/>
      <c r="FE467" s="45"/>
      <c r="FF467" s="45"/>
      <c r="FG467" s="45"/>
      <c r="FH467" s="45"/>
      <c r="FI467" s="45"/>
      <c r="FJ467" s="45"/>
      <c r="FK467" s="45"/>
      <c r="FL467" s="45"/>
      <c r="FM467" s="45"/>
      <c r="FN467" s="45"/>
      <c r="FO467" s="45"/>
      <c r="FP467" s="45"/>
      <c r="FQ467" s="45"/>
      <c r="FR467" s="45"/>
      <c r="FS467" s="45"/>
      <c r="FT467" s="45"/>
      <c r="FU467" s="45"/>
      <c r="FV467" s="45"/>
      <c r="FW467" s="45"/>
      <c r="FX467" s="45"/>
      <c r="FY467" s="45"/>
      <c r="FZ467" s="45"/>
      <c r="GA467" s="45"/>
      <c r="GB467" s="45"/>
      <c r="GC467" s="45"/>
      <c r="GD467" s="45"/>
      <c r="GE467" s="45"/>
      <c r="GF467" s="45"/>
      <c r="GG467" s="45"/>
      <c r="GH467" s="45"/>
      <c r="GI467" s="45"/>
      <c r="GJ467" s="45"/>
      <c r="GK467" s="45"/>
      <c r="GL467" s="45"/>
      <c r="GM467" s="45"/>
      <c r="GN467" s="45"/>
      <c r="GO467" s="45"/>
      <c r="GP467" s="45"/>
      <c r="GQ467" s="45"/>
      <c r="GR467" s="45"/>
      <c r="GS467" s="45"/>
      <c r="GT467" s="45"/>
      <c r="GU467" s="45"/>
      <c r="GV467" s="45"/>
      <c r="GW467" s="45"/>
      <c r="GX467" s="45"/>
      <c r="GY467" s="45"/>
      <c r="GZ467" s="45"/>
      <c r="HA467" s="45"/>
      <c r="HB467" s="45"/>
      <c r="HC467" s="45"/>
      <c r="HD467" s="45"/>
      <c r="HE467" s="45"/>
      <c r="HF467" s="45"/>
      <c r="HG467" s="45"/>
      <c r="HH467" s="45"/>
      <c r="HI467" s="45"/>
      <c r="HJ467" s="45"/>
      <c r="HK467" s="45"/>
      <c r="HL467" s="45"/>
      <c r="HM467" s="45"/>
      <c r="HN467" s="45"/>
      <c r="HO467" s="45"/>
      <c r="HP467" s="45"/>
      <c r="HQ467" s="45"/>
      <c r="HR467" s="45"/>
      <c r="HS467" s="45"/>
      <c r="HT467" s="45"/>
      <c r="HU467" s="45"/>
      <c r="HV467" s="45"/>
      <c r="HW467" s="45"/>
      <c r="HX467" s="45"/>
      <c r="HY467" s="45"/>
    </row>
    <row r="468" spans="1:233" s="46" customFormat="1" ht="15" customHeight="1">
      <c r="A468" s="73" t="s">
        <v>44</v>
      </c>
      <c r="B468" s="26" t="s">
        <v>10</v>
      </c>
      <c r="C468" s="26" t="s">
        <v>13</v>
      </c>
      <c r="D468" s="26" t="s">
        <v>610</v>
      </c>
      <c r="E468" s="26" t="s">
        <v>67</v>
      </c>
      <c r="F468" s="26" t="s">
        <v>44</v>
      </c>
      <c r="G468" s="26" t="s">
        <v>399</v>
      </c>
      <c r="H468" s="26" t="s">
        <v>22</v>
      </c>
      <c r="I468" s="26" t="s">
        <v>641</v>
      </c>
      <c r="J468" s="26" t="s">
        <v>11</v>
      </c>
      <c r="K468" s="27" t="s">
        <v>26</v>
      </c>
      <c r="L468" s="26">
        <v>278</v>
      </c>
      <c r="M468" s="28">
        <v>170</v>
      </c>
      <c r="N468" s="82">
        <v>61.15</v>
      </c>
      <c r="O468" s="28">
        <v>278</v>
      </c>
      <c r="P468" s="28">
        <v>65</v>
      </c>
      <c r="Q468" s="21">
        <v>23.38</v>
      </c>
      <c r="R468" s="31">
        <v>28</v>
      </c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  <c r="BP468" s="45"/>
      <c r="BQ468" s="45"/>
      <c r="BR468" s="45"/>
      <c r="BS468" s="45"/>
      <c r="BT468" s="45"/>
      <c r="BU468" s="45"/>
      <c r="BV468" s="45"/>
      <c r="BW468" s="45"/>
      <c r="BX468" s="45"/>
      <c r="BY468" s="45"/>
      <c r="BZ468" s="45"/>
      <c r="CA468" s="45"/>
      <c r="CB468" s="45"/>
      <c r="CC468" s="45"/>
      <c r="CD468" s="45"/>
      <c r="CE468" s="45"/>
      <c r="CF468" s="45"/>
      <c r="CG468" s="45"/>
      <c r="CH468" s="45"/>
      <c r="CI468" s="45"/>
      <c r="CJ468" s="45"/>
      <c r="CK468" s="45"/>
      <c r="CL468" s="45"/>
      <c r="CM468" s="45"/>
      <c r="CN468" s="45"/>
      <c r="CO468" s="45"/>
      <c r="CP468" s="45"/>
      <c r="CQ468" s="45"/>
      <c r="CR468" s="45"/>
      <c r="CS468" s="45"/>
      <c r="CT468" s="45"/>
      <c r="CU468" s="45"/>
      <c r="CV468" s="45"/>
      <c r="CW468" s="45"/>
      <c r="CX468" s="45"/>
      <c r="CY468" s="45"/>
      <c r="CZ468" s="45"/>
      <c r="DA468" s="45"/>
      <c r="DB468" s="45"/>
      <c r="DC468" s="45"/>
      <c r="DD468" s="45"/>
      <c r="DE468" s="45"/>
      <c r="DF468" s="45"/>
      <c r="DG468" s="45"/>
      <c r="DH468" s="45"/>
      <c r="DI468" s="45"/>
      <c r="DJ468" s="45"/>
      <c r="DK468" s="45"/>
      <c r="DL468" s="45"/>
      <c r="DM468" s="45"/>
      <c r="DN468" s="45"/>
      <c r="DO468" s="45"/>
      <c r="DP468" s="45"/>
      <c r="DQ468" s="45"/>
      <c r="DR468" s="45"/>
      <c r="DS468" s="45"/>
      <c r="DT468" s="45"/>
      <c r="DU468" s="45"/>
      <c r="DV468" s="45"/>
      <c r="DW468" s="45"/>
      <c r="DX468" s="45"/>
      <c r="DY468" s="45"/>
      <c r="DZ468" s="45"/>
      <c r="EA468" s="45"/>
      <c r="EB468" s="45"/>
      <c r="EC468" s="45"/>
      <c r="ED468" s="45"/>
      <c r="EE468" s="45"/>
      <c r="EF468" s="45"/>
      <c r="EG468" s="45"/>
      <c r="EH468" s="45"/>
      <c r="EI468" s="45"/>
      <c r="EJ468" s="45"/>
      <c r="EK468" s="45"/>
      <c r="EL468" s="45"/>
      <c r="EM468" s="45"/>
      <c r="EN468" s="45"/>
      <c r="EO468" s="45"/>
      <c r="EP468" s="45"/>
      <c r="EQ468" s="45"/>
      <c r="ER468" s="45"/>
      <c r="ES468" s="45"/>
      <c r="ET468" s="45"/>
      <c r="EU468" s="45"/>
      <c r="EV468" s="45"/>
      <c r="EW468" s="45"/>
      <c r="EX468" s="45"/>
      <c r="EY468" s="45"/>
      <c r="EZ468" s="45"/>
      <c r="FA468" s="45"/>
      <c r="FB468" s="45"/>
      <c r="FC468" s="45"/>
      <c r="FD468" s="45"/>
      <c r="FE468" s="45"/>
      <c r="FF468" s="45"/>
      <c r="FG468" s="45"/>
      <c r="FH468" s="45"/>
      <c r="FI468" s="45"/>
      <c r="FJ468" s="45"/>
      <c r="FK468" s="45"/>
      <c r="FL468" s="45"/>
      <c r="FM468" s="45"/>
      <c r="FN468" s="45"/>
      <c r="FO468" s="45"/>
      <c r="FP468" s="45"/>
      <c r="FQ468" s="45"/>
      <c r="FR468" s="45"/>
      <c r="FS468" s="45"/>
      <c r="FT468" s="45"/>
      <c r="FU468" s="45"/>
      <c r="FV468" s="45"/>
      <c r="FW468" s="45"/>
      <c r="FX468" s="45"/>
      <c r="FY468" s="45"/>
      <c r="FZ468" s="45"/>
      <c r="GA468" s="45"/>
      <c r="GB468" s="45"/>
      <c r="GC468" s="45"/>
      <c r="GD468" s="45"/>
      <c r="GE468" s="45"/>
      <c r="GF468" s="45"/>
      <c r="GG468" s="45"/>
      <c r="GH468" s="45"/>
      <c r="GI468" s="45"/>
      <c r="GJ468" s="45"/>
      <c r="GK468" s="45"/>
      <c r="GL468" s="45"/>
      <c r="GM468" s="45"/>
      <c r="GN468" s="45"/>
      <c r="GO468" s="45"/>
      <c r="GP468" s="45"/>
      <c r="GQ468" s="45"/>
      <c r="GR468" s="45"/>
      <c r="GS468" s="45"/>
      <c r="GT468" s="45"/>
      <c r="GU468" s="45"/>
      <c r="GV468" s="45"/>
      <c r="GW468" s="45"/>
      <c r="GX468" s="45"/>
      <c r="GY468" s="45"/>
      <c r="GZ468" s="45"/>
      <c r="HA468" s="45"/>
      <c r="HB468" s="45"/>
      <c r="HC468" s="45"/>
      <c r="HD468" s="45"/>
      <c r="HE468" s="45"/>
      <c r="HF468" s="45"/>
      <c r="HG468" s="45"/>
      <c r="HH468" s="45"/>
      <c r="HI468" s="45"/>
      <c r="HJ468" s="45"/>
      <c r="HK468" s="45"/>
      <c r="HL468" s="45"/>
      <c r="HM468" s="45"/>
      <c r="HN468" s="45"/>
      <c r="HO468" s="45"/>
      <c r="HP468" s="45"/>
      <c r="HQ468" s="45"/>
      <c r="HR468" s="45"/>
      <c r="HS468" s="45"/>
      <c r="HT468" s="45"/>
      <c r="HU468" s="45"/>
      <c r="HV468" s="45"/>
      <c r="HW468" s="45"/>
      <c r="HX468" s="45"/>
      <c r="HY468" s="45"/>
    </row>
    <row r="469" spans="1:233" s="46" customFormat="1" ht="15" customHeight="1">
      <c r="A469" s="73" t="s">
        <v>44</v>
      </c>
      <c r="B469" s="26" t="s">
        <v>10</v>
      </c>
      <c r="C469" s="26" t="s">
        <v>13</v>
      </c>
      <c r="D469" s="26" t="s">
        <v>610</v>
      </c>
      <c r="E469" s="26" t="s">
        <v>67</v>
      </c>
      <c r="F469" s="26" t="s">
        <v>44</v>
      </c>
      <c r="G469" s="26" t="s">
        <v>399</v>
      </c>
      <c r="H469" s="26" t="s">
        <v>22</v>
      </c>
      <c r="I469" s="26" t="s">
        <v>641</v>
      </c>
      <c r="J469" s="26" t="s">
        <v>11</v>
      </c>
      <c r="K469" s="27" t="s">
        <v>27</v>
      </c>
      <c r="L469" s="26">
        <v>220</v>
      </c>
      <c r="M469" s="28">
        <v>151</v>
      </c>
      <c r="N469" s="82">
        <v>68.64</v>
      </c>
      <c r="O469" s="28">
        <v>220</v>
      </c>
      <c r="P469" s="28">
        <v>58</v>
      </c>
      <c r="Q469" s="21">
        <v>26.36</v>
      </c>
      <c r="R469" s="31">
        <v>28</v>
      </c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  <c r="BP469" s="45"/>
      <c r="BQ469" s="45"/>
      <c r="BR469" s="45"/>
      <c r="BS469" s="45"/>
      <c r="BT469" s="45"/>
      <c r="BU469" s="45"/>
      <c r="BV469" s="45"/>
      <c r="BW469" s="45"/>
      <c r="BX469" s="45"/>
      <c r="BY469" s="45"/>
      <c r="BZ469" s="45"/>
      <c r="CA469" s="45"/>
      <c r="CB469" s="45"/>
      <c r="CC469" s="45"/>
      <c r="CD469" s="45"/>
      <c r="CE469" s="45"/>
      <c r="CF469" s="45"/>
      <c r="CG469" s="45"/>
      <c r="CH469" s="45"/>
      <c r="CI469" s="45"/>
      <c r="CJ469" s="45"/>
      <c r="CK469" s="45"/>
      <c r="CL469" s="45"/>
      <c r="CM469" s="45"/>
      <c r="CN469" s="45"/>
      <c r="CO469" s="45"/>
      <c r="CP469" s="45"/>
      <c r="CQ469" s="45"/>
      <c r="CR469" s="45"/>
      <c r="CS469" s="45"/>
      <c r="CT469" s="45"/>
      <c r="CU469" s="45"/>
      <c r="CV469" s="45"/>
      <c r="CW469" s="45"/>
      <c r="CX469" s="45"/>
      <c r="CY469" s="45"/>
      <c r="CZ469" s="45"/>
      <c r="DA469" s="45"/>
      <c r="DB469" s="45"/>
      <c r="DC469" s="45"/>
      <c r="DD469" s="45"/>
      <c r="DE469" s="45"/>
      <c r="DF469" s="45"/>
      <c r="DG469" s="45"/>
      <c r="DH469" s="45"/>
      <c r="DI469" s="45"/>
      <c r="DJ469" s="45"/>
      <c r="DK469" s="45"/>
      <c r="DL469" s="45"/>
      <c r="DM469" s="45"/>
      <c r="DN469" s="45"/>
      <c r="DO469" s="45"/>
      <c r="DP469" s="45"/>
      <c r="DQ469" s="45"/>
      <c r="DR469" s="45"/>
      <c r="DS469" s="45"/>
      <c r="DT469" s="45"/>
      <c r="DU469" s="45"/>
      <c r="DV469" s="45"/>
      <c r="DW469" s="45"/>
      <c r="DX469" s="45"/>
      <c r="DY469" s="45"/>
      <c r="DZ469" s="45"/>
      <c r="EA469" s="45"/>
      <c r="EB469" s="45"/>
      <c r="EC469" s="45"/>
      <c r="ED469" s="45"/>
      <c r="EE469" s="45"/>
      <c r="EF469" s="45"/>
      <c r="EG469" s="45"/>
      <c r="EH469" s="45"/>
      <c r="EI469" s="45"/>
      <c r="EJ469" s="45"/>
      <c r="EK469" s="45"/>
      <c r="EL469" s="45"/>
      <c r="EM469" s="45"/>
      <c r="EN469" s="45"/>
      <c r="EO469" s="45"/>
      <c r="EP469" s="45"/>
      <c r="EQ469" s="45"/>
      <c r="ER469" s="45"/>
      <c r="ES469" s="45"/>
      <c r="ET469" s="45"/>
      <c r="EU469" s="45"/>
      <c r="EV469" s="45"/>
      <c r="EW469" s="45"/>
      <c r="EX469" s="45"/>
      <c r="EY469" s="45"/>
      <c r="EZ469" s="45"/>
      <c r="FA469" s="45"/>
      <c r="FB469" s="45"/>
      <c r="FC469" s="45"/>
      <c r="FD469" s="45"/>
      <c r="FE469" s="45"/>
      <c r="FF469" s="45"/>
      <c r="FG469" s="45"/>
      <c r="FH469" s="45"/>
      <c r="FI469" s="45"/>
      <c r="FJ469" s="45"/>
      <c r="FK469" s="45"/>
      <c r="FL469" s="45"/>
      <c r="FM469" s="45"/>
      <c r="FN469" s="45"/>
      <c r="FO469" s="45"/>
      <c r="FP469" s="45"/>
      <c r="FQ469" s="45"/>
      <c r="FR469" s="45"/>
      <c r="FS469" s="45"/>
      <c r="FT469" s="45"/>
      <c r="FU469" s="45"/>
      <c r="FV469" s="45"/>
      <c r="FW469" s="45"/>
      <c r="FX469" s="45"/>
      <c r="FY469" s="45"/>
      <c r="FZ469" s="45"/>
      <c r="GA469" s="45"/>
      <c r="GB469" s="45"/>
      <c r="GC469" s="45"/>
      <c r="GD469" s="45"/>
      <c r="GE469" s="45"/>
      <c r="GF469" s="45"/>
      <c r="GG469" s="45"/>
      <c r="GH469" s="45"/>
      <c r="GI469" s="45"/>
      <c r="GJ469" s="45"/>
      <c r="GK469" s="45"/>
      <c r="GL469" s="45"/>
      <c r="GM469" s="45"/>
      <c r="GN469" s="45"/>
      <c r="GO469" s="45"/>
      <c r="GP469" s="45"/>
      <c r="GQ469" s="45"/>
      <c r="GR469" s="45"/>
      <c r="GS469" s="45"/>
      <c r="GT469" s="45"/>
      <c r="GU469" s="45"/>
      <c r="GV469" s="45"/>
      <c r="GW469" s="45"/>
      <c r="GX469" s="45"/>
      <c r="GY469" s="45"/>
      <c r="GZ469" s="45"/>
      <c r="HA469" s="45"/>
      <c r="HB469" s="45"/>
      <c r="HC469" s="45"/>
      <c r="HD469" s="45"/>
      <c r="HE469" s="45"/>
      <c r="HF469" s="45"/>
      <c r="HG469" s="45"/>
      <c r="HH469" s="45"/>
      <c r="HI469" s="45"/>
      <c r="HJ469" s="45"/>
      <c r="HK469" s="45"/>
      <c r="HL469" s="45"/>
      <c r="HM469" s="45"/>
      <c r="HN469" s="45"/>
      <c r="HO469" s="45"/>
      <c r="HP469" s="45"/>
      <c r="HQ469" s="45"/>
      <c r="HR469" s="45"/>
      <c r="HS469" s="45"/>
      <c r="HT469" s="45"/>
      <c r="HU469" s="45"/>
      <c r="HV469" s="45"/>
      <c r="HW469" s="45"/>
      <c r="HX469" s="45"/>
      <c r="HY469" s="45"/>
    </row>
    <row r="470" spans="1:233" s="46" customFormat="1" ht="15" customHeight="1">
      <c r="A470" s="73" t="s">
        <v>44</v>
      </c>
      <c r="B470" s="26" t="s">
        <v>10</v>
      </c>
      <c r="C470" s="26" t="s">
        <v>13</v>
      </c>
      <c r="D470" s="26" t="s">
        <v>610</v>
      </c>
      <c r="E470" s="26" t="s">
        <v>67</v>
      </c>
      <c r="F470" s="26" t="s">
        <v>44</v>
      </c>
      <c r="G470" s="26" t="s">
        <v>399</v>
      </c>
      <c r="H470" s="26" t="s">
        <v>22</v>
      </c>
      <c r="I470" s="26" t="s">
        <v>641</v>
      </c>
      <c r="J470" s="26" t="s">
        <v>11</v>
      </c>
      <c r="K470" s="27" t="s">
        <v>28</v>
      </c>
      <c r="L470" s="26">
        <v>176</v>
      </c>
      <c r="M470" s="28">
        <v>116</v>
      </c>
      <c r="N470" s="82">
        <v>65.91</v>
      </c>
      <c r="O470" s="28">
        <v>176</v>
      </c>
      <c r="P470" s="28">
        <v>58</v>
      </c>
      <c r="Q470" s="21">
        <v>32.950000000000003</v>
      </c>
      <c r="R470" s="31">
        <v>28</v>
      </c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  <c r="BP470" s="45"/>
      <c r="BQ470" s="45"/>
      <c r="BR470" s="45"/>
      <c r="BS470" s="45"/>
      <c r="BT470" s="45"/>
      <c r="BU470" s="45"/>
      <c r="BV470" s="45"/>
      <c r="BW470" s="45"/>
      <c r="BX470" s="45"/>
      <c r="BY470" s="45"/>
      <c r="BZ470" s="45"/>
      <c r="CA470" s="45"/>
      <c r="CB470" s="45"/>
      <c r="CC470" s="45"/>
      <c r="CD470" s="45"/>
      <c r="CE470" s="45"/>
      <c r="CF470" s="45"/>
      <c r="CG470" s="45"/>
      <c r="CH470" s="45"/>
      <c r="CI470" s="45"/>
      <c r="CJ470" s="45"/>
      <c r="CK470" s="45"/>
      <c r="CL470" s="45"/>
      <c r="CM470" s="45"/>
      <c r="CN470" s="45"/>
      <c r="CO470" s="45"/>
      <c r="CP470" s="45"/>
      <c r="CQ470" s="45"/>
      <c r="CR470" s="45"/>
      <c r="CS470" s="45"/>
      <c r="CT470" s="45"/>
      <c r="CU470" s="45"/>
      <c r="CV470" s="45"/>
      <c r="CW470" s="45"/>
      <c r="CX470" s="45"/>
      <c r="CY470" s="45"/>
      <c r="CZ470" s="45"/>
      <c r="DA470" s="45"/>
      <c r="DB470" s="45"/>
      <c r="DC470" s="45"/>
      <c r="DD470" s="45"/>
      <c r="DE470" s="45"/>
      <c r="DF470" s="45"/>
      <c r="DG470" s="45"/>
      <c r="DH470" s="45"/>
      <c r="DI470" s="45"/>
      <c r="DJ470" s="45"/>
      <c r="DK470" s="45"/>
      <c r="DL470" s="45"/>
      <c r="DM470" s="45"/>
      <c r="DN470" s="45"/>
      <c r="DO470" s="45"/>
      <c r="DP470" s="45"/>
      <c r="DQ470" s="45"/>
      <c r="DR470" s="45"/>
      <c r="DS470" s="45"/>
      <c r="DT470" s="45"/>
      <c r="DU470" s="45"/>
      <c r="DV470" s="45"/>
      <c r="DW470" s="45"/>
      <c r="DX470" s="45"/>
      <c r="DY470" s="45"/>
      <c r="DZ470" s="45"/>
      <c r="EA470" s="45"/>
      <c r="EB470" s="45"/>
      <c r="EC470" s="45"/>
      <c r="ED470" s="45"/>
      <c r="EE470" s="45"/>
      <c r="EF470" s="45"/>
      <c r="EG470" s="45"/>
      <c r="EH470" s="45"/>
      <c r="EI470" s="45"/>
      <c r="EJ470" s="45"/>
      <c r="EK470" s="45"/>
      <c r="EL470" s="45"/>
      <c r="EM470" s="45"/>
      <c r="EN470" s="45"/>
      <c r="EO470" s="45"/>
      <c r="EP470" s="45"/>
      <c r="EQ470" s="45"/>
      <c r="ER470" s="45"/>
      <c r="ES470" s="45"/>
      <c r="ET470" s="45"/>
      <c r="EU470" s="45"/>
      <c r="EV470" s="45"/>
      <c r="EW470" s="45"/>
      <c r="EX470" s="45"/>
      <c r="EY470" s="45"/>
      <c r="EZ470" s="45"/>
      <c r="FA470" s="45"/>
      <c r="FB470" s="45"/>
      <c r="FC470" s="45"/>
      <c r="FD470" s="45"/>
      <c r="FE470" s="45"/>
      <c r="FF470" s="45"/>
      <c r="FG470" s="45"/>
      <c r="FH470" s="45"/>
      <c r="FI470" s="45"/>
      <c r="FJ470" s="45"/>
      <c r="FK470" s="45"/>
      <c r="FL470" s="45"/>
      <c r="FM470" s="45"/>
      <c r="FN470" s="45"/>
      <c r="FO470" s="45"/>
      <c r="FP470" s="45"/>
      <c r="FQ470" s="45"/>
      <c r="FR470" s="45"/>
      <c r="FS470" s="45"/>
      <c r="FT470" s="45"/>
      <c r="FU470" s="45"/>
      <c r="FV470" s="45"/>
      <c r="FW470" s="45"/>
      <c r="FX470" s="45"/>
      <c r="FY470" s="45"/>
      <c r="FZ470" s="45"/>
      <c r="GA470" s="45"/>
      <c r="GB470" s="45"/>
      <c r="GC470" s="45"/>
      <c r="GD470" s="45"/>
      <c r="GE470" s="45"/>
      <c r="GF470" s="45"/>
      <c r="GG470" s="45"/>
      <c r="GH470" s="45"/>
      <c r="GI470" s="45"/>
      <c r="GJ470" s="45"/>
      <c r="GK470" s="45"/>
      <c r="GL470" s="45"/>
      <c r="GM470" s="45"/>
      <c r="GN470" s="45"/>
      <c r="GO470" s="45"/>
      <c r="GP470" s="45"/>
      <c r="GQ470" s="45"/>
      <c r="GR470" s="45"/>
      <c r="GS470" s="45"/>
      <c r="GT470" s="45"/>
      <c r="GU470" s="45"/>
      <c r="GV470" s="45"/>
      <c r="GW470" s="45"/>
      <c r="GX470" s="45"/>
      <c r="GY470" s="45"/>
      <c r="GZ470" s="45"/>
      <c r="HA470" s="45"/>
      <c r="HB470" s="45"/>
      <c r="HC470" s="45"/>
      <c r="HD470" s="45"/>
      <c r="HE470" s="45"/>
      <c r="HF470" s="45"/>
      <c r="HG470" s="45"/>
      <c r="HH470" s="45"/>
      <c r="HI470" s="45"/>
      <c r="HJ470" s="45"/>
      <c r="HK470" s="45"/>
      <c r="HL470" s="45"/>
      <c r="HM470" s="45"/>
      <c r="HN470" s="45"/>
      <c r="HO470" s="45"/>
      <c r="HP470" s="45"/>
      <c r="HQ470" s="45"/>
      <c r="HR470" s="45"/>
      <c r="HS470" s="45"/>
      <c r="HT470" s="45"/>
      <c r="HU470" s="45"/>
      <c r="HV470" s="45"/>
      <c r="HW470" s="45"/>
      <c r="HX470" s="45"/>
      <c r="HY470" s="45"/>
    </row>
    <row r="471" spans="1:233" s="46" customFormat="1" ht="15" customHeight="1">
      <c r="A471" s="73" t="s">
        <v>44</v>
      </c>
      <c r="B471" s="26" t="s">
        <v>10</v>
      </c>
      <c r="C471" s="26" t="s">
        <v>13</v>
      </c>
      <c r="D471" s="26" t="s">
        <v>610</v>
      </c>
      <c r="E471" s="26" t="s">
        <v>67</v>
      </c>
      <c r="F471" s="26" t="s">
        <v>44</v>
      </c>
      <c r="G471" s="26" t="s">
        <v>399</v>
      </c>
      <c r="H471" s="26" t="s">
        <v>22</v>
      </c>
      <c r="I471" s="26" t="s">
        <v>641</v>
      </c>
      <c r="J471" s="26" t="s">
        <v>11</v>
      </c>
      <c r="K471" s="27" t="s">
        <v>72</v>
      </c>
      <c r="L471" s="26">
        <v>205</v>
      </c>
      <c r="M471" s="28">
        <v>143</v>
      </c>
      <c r="N471" s="82">
        <v>69.760000000000005</v>
      </c>
      <c r="O471" s="28">
        <v>205</v>
      </c>
      <c r="P471" s="28">
        <v>63</v>
      </c>
      <c r="Q471" s="21">
        <v>30.73</v>
      </c>
      <c r="R471" s="31">
        <v>28</v>
      </c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  <c r="BP471" s="45"/>
      <c r="BQ471" s="45"/>
      <c r="BR471" s="45"/>
      <c r="BS471" s="45"/>
      <c r="BT471" s="45"/>
      <c r="BU471" s="45"/>
      <c r="BV471" s="45"/>
      <c r="BW471" s="45"/>
      <c r="BX471" s="45"/>
      <c r="BY471" s="45"/>
      <c r="BZ471" s="45"/>
      <c r="CA471" s="45"/>
      <c r="CB471" s="45"/>
      <c r="CC471" s="45"/>
      <c r="CD471" s="45"/>
      <c r="CE471" s="45"/>
      <c r="CF471" s="45"/>
      <c r="CG471" s="45"/>
      <c r="CH471" s="45"/>
      <c r="CI471" s="45"/>
      <c r="CJ471" s="45"/>
      <c r="CK471" s="45"/>
      <c r="CL471" s="45"/>
      <c r="CM471" s="45"/>
      <c r="CN471" s="45"/>
      <c r="CO471" s="45"/>
      <c r="CP471" s="45"/>
      <c r="CQ471" s="45"/>
      <c r="CR471" s="45"/>
      <c r="CS471" s="45"/>
      <c r="CT471" s="45"/>
      <c r="CU471" s="45"/>
      <c r="CV471" s="45"/>
      <c r="CW471" s="45"/>
      <c r="CX471" s="45"/>
      <c r="CY471" s="45"/>
      <c r="CZ471" s="45"/>
      <c r="DA471" s="45"/>
      <c r="DB471" s="45"/>
      <c r="DC471" s="45"/>
      <c r="DD471" s="45"/>
      <c r="DE471" s="45"/>
      <c r="DF471" s="45"/>
      <c r="DG471" s="45"/>
      <c r="DH471" s="45"/>
      <c r="DI471" s="45"/>
      <c r="DJ471" s="45"/>
      <c r="DK471" s="45"/>
      <c r="DL471" s="45"/>
      <c r="DM471" s="45"/>
      <c r="DN471" s="45"/>
      <c r="DO471" s="45"/>
      <c r="DP471" s="45"/>
      <c r="DQ471" s="45"/>
      <c r="DR471" s="45"/>
      <c r="DS471" s="45"/>
      <c r="DT471" s="45"/>
      <c r="DU471" s="45"/>
      <c r="DV471" s="45"/>
      <c r="DW471" s="45"/>
      <c r="DX471" s="45"/>
      <c r="DY471" s="45"/>
      <c r="DZ471" s="45"/>
      <c r="EA471" s="45"/>
      <c r="EB471" s="45"/>
      <c r="EC471" s="45"/>
      <c r="ED471" s="45"/>
      <c r="EE471" s="45"/>
      <c r="EF471" s="45"/>
      <c r="EG471" s="45"/>
      <c r="EH471" s="45"/>
      <c r="EI471" s="45"/>
      <c r="EJ471" s="45"/>
      <c r="EK471" s="45"/>
      <c r="EL471" s="45"/>
      <c r="EM471" s="45"/>
      <c r="EN471" s="45"/>
      <c r="EO471" s="45"/>
      <c r="EP471" s="45"/>
      <c r="EQ471" s="45"/>
      <c r="ER471" s="45"/>
      <c r="ES471" s="45"/>
      <c r="ET471" s="45"/>
      <c r="EU471" s="45"/>
      <c r="EV471" s="45"/>
      <c r="EW471" s="45"/>
      <c r="EX471" s="45"/>
      <c r="EY471" s="45"/>
      <c r="EZ471" s="45"/>
      <c r="FA471" s="45"/>
      <c r="FB471" s="45"/>
      <c r="FC471" s="45"/>
      <c r="FD471" s="45"/>
      <c r="FE471" s="45"/>
      <c r="FF471" s="45"/>
      <c r="FG471" s="45"/>
      <c r="FH471" s="45"/>
      <c r="FI471" s="45"/>
      <c r="FJ471" s="45"/>
      <c r="FK471" s="45"/>
      <c r="FL471" s="45"/>
      <c r="FM471" s="45"/>
      <c r="FN471" s="45"/>
      <c r="FO471" s="45"/>
      <c r="FP471" s="45"/>
      <c r="FQ471" s="45"/>
      <c r="FR471" s="45"/>
      <c r="FS471" s="45"/>
      <c r="FT471" s="45"/>
      <c r="FU471" s="45"/>
      <c r="FV471" s="45"/>
      <c r="FW471" s="45"/>
      <c r="FX471" s="45"/>
      <c r="FY471" s="45"/>
      <c r="FZ471" s="45"/>
      <c r="GA471" s="45"/>
      <c r="GB471" s="45"/>
      <c r="GC471" s="45"/>
      <c r="GD471" s="45"/>
      <c r="GE471" s="45"/>
      <c r="GF471" s="45"/>
      <c r="GG471" s="45"/>
      <c r="GH471" s="45"/>
      <c r="GI471" s="45"/>
      <c r="GJ471" s="45"/>
      <c r="GK471" s="45"/>
      <c r="GL471" s="45"/>
      <c r="GM471" s="45"/>
      <c r="GN471" s="45"/>
      <c r="GO471" s="45"/>
      <c r="GP471" s="45"/>
      <c r="GQ471" s="45"/>
      <c r="GR471" s="45"/>
      <c r="GS471" s="45"/>
      <c r="GT471" s="45"/>
      <c r="GU471" s="45"/>
      <c r="GV471" s="45"/>
      <c r="GW471" s="45"/>
      <c r="GX471" s="45"/>
      <c r="GY471" s="45"/>
      <c r="GZ471" s="45"/>
      <c r="HA471" s="45"/>
      <c r="HB471" s="45"/>
      <c r="HC471" s="45"/>
      <c r="HD471" s="45"/>
      <c r="HE471" s="45"/>
      <c r="HF471" s="45"/>
      <c r="HG471" s="45"/>
      <c r="HH471" s="45"/>
      <c r="HI471" s="45"/>
      <c r="HJ471" s="45"/>
      <c r="HK471" s="45"/>
      <c r="HL471" s="45"/>
      <c r="HM471" s="45"/>
      <c r="HN471" s="45"/>
      <c r="HO471" s="45"/>
      <c r="HP471" s="45"/>
      <c r="HQ471" s="45"/>
      <c r="HR471" s="45"/>
      <c r="HS471" s="45"/>
      <c r="HT471" s="45"/>
      <c r="HU471" s="45"/>
      <c r="HV471" s="45"/>
      <c r="HW471" s="45"/>
      <c r="HX471" s="45"/>
      <c r="HY471" s="45"/>
    </row>
    <row r="472" spans="1:233" s="46" customFormat="1" ht="15" customHeight="1">
      <c r="A472" s="73" t="s">
        <v>44</v>
      </c>
      <c r="B472" s="26" t="s">
        <v>10</v>
      </c>
      <c r="C472" s="26" t="s">
        <v>13</v>
      </c>
      <c r="D472" s="26" t="s">
        <v>610</v>
      </c>
      <c r="E472" s="26" t="s">
        <v>67</v>
      </c>
      <c r="F472" s="26" t="s">
        <v>44</v>
      </c>
      <c r="G472" s="26" t="s">
        <v>399</v>
      </c>
      <c r="H472" s="26" t="s">
        <v>22</v>
      </c>
      <c r="I472" s="26" t="s">
        <v>641</v>
      </c>
      <c r="J472" s="26" t="s">
        <v>11</v>
      </c>
      <c r="K472" s="27" t="s">
        <v>73</v>
      </c>
      <c r="L472" s="26">
        <v>190</v>
      </c>
      <c r="M472" s="28">
        <v>128</v>
      </c>
      <c r="N472" s="82">
        <v>67.37</v>
      </c>
      <c r="O472" s="28">
        <v>190</v>
      </c>
      <c r="P472" s="28">
        <v>79</v>
      </c>
      <c r="Q472" s="21">
        <v>41.58</v>
      </c>
      <c r="R472" s="31">
        <v>28</v>
      </c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  <c r="BP472" s="45"/>
      <c r="BQ472" s="45"/>
      <c r="BR472" s="45"/>
      <c r="BS472" s="45"/>
      <c r="BT472" s="45"/>
      <c r="BU472" s="45"/>
      <c r="BV472" s="45"/>
      <c r="BW472" s="45"/>
      <c r="BX472" s="45"/>
      <c r="BY472" s="45"/>
      <c r="BZ472" s="45"/>
      <c r="CA472" s="45"/>
      <c r="CB472" s="45"/>
      <c r="CC472" s="45"/>
      <c r="CD472" s="45"/>
      <c r="CE472" s="45"/>
      <c r="CF472" s="45"/>
      <c r="CG472" s="45"/>
      <c r="CH472" s="45"/>
      <c r="CI472" s="45"/>
      <c r="CJ472" s="45"/>
      <c r="CK472" s="45"/>
      <c r="CL472" s="45"/>
      <c r="CM472" s="45"/>
      <c r="CN472" s="45"/>
      <c r="CO472" s="45"/>
      <c r="CP472" s="45"/>
      <c r="CQ472" s="45"/>
      <c r="CR472" s="45"/>
      <c r="CS472" s="45"/>
      <c r="CT472" s="45"/>
      <c r="CU472" s="45"/>
      <c r="CV472" s="45"/>
      <c r="CW472" s="45"/>
      <c r="CX472" s="45"/>
      <c r="CY472" s="45"/>
      <c r="CZ472" s="45"/>
      <c r="DA472" s="45"/>
      <c r="DB472" s="45"/>
      <c r="DC472" s="45"/>
      <c r="DD472" s="45"/>
      <c r="DE472" s="45"/>
      <c r="DF472" s="45"/>
      <c r="DG472" s="45"/>
      <c r="DH472" s="45"/>
      <c r="DI472" s="45"/>
      <c r="DJ472" s="45"/>
      <c r="DK472" s="45"/>
      <c r="DL472" s="45"/>
      <c r="DM472" s="45"/>
      <c r="DN472" s="45"/>
      <c r="DO472" s="45"/>
      <c r="DP472" s="45"/>
      <c r="DQ472" s="45"/>
      <c r="DR472" s="45"/>
      <c r="DS472" s="45"/>
      <c r="DT472" s="45"/>
      <c r="DU472" s="45"/>
      <c r="DV472" s="45"/>
      <c r="DW472" s="45"/>
      <c r="DX472" s="45"/>
      <c r="DY472" s="45"/>
      <c r="DZ472" s="45"/>
      <c r="EA472" s="45"/>
      <c r="EB472" s="45"/>
      <c r="EC472" s="45"/>
      <c r="ED472" s="45"/>
      <c r="EE472" s="45"/>
      <c r="EF472" s="45"/>
      <c r="EG472" s="45"/>
      <c r="EH472" s="45"/>
      <c r="EI472" s="45"/>
      <c r="EJ472" s="45"/>
      <c r="EK472" s="45"/>
      <c r="EL472" s="45"/>
      <c r="EM472" s="45"/>
      <c r="EN472" s="45"/>
      <c r="EO472" s="45"/>
      <c r="EP472" s="45"/>
      <c r="EQ472" s="45"/>
      <c r="ER472" s="45"/>
      <c r="ES472" s="45"/>
      <c r="ET472" s="45"/>
      <c r="EU472" s="45"/>
      <c r="EV472" s="45"/>
      <c r="EW472" s="45"/>
      <c r="EX472" s="45"/>
      <c r="EY472" s="45"/>
      <c r="EZ472" s="45"/>
      <c r="FA472" s="45"/>
      <c r="FB472" s="45"/>
      <c r="FC472" s="45"/>
      <c r="FD472" s="45"/>
      <c r="FE472" s="45"/>
      <c r="FF472" s="45"/>
      <c r="FG472" s="45"/>
      <c r="FH472" s="45"/>
      <c r="FI472" s="45"/>
      <c r="FJ472" s="45"/>
      <c r="FK472" s="45"/>
      <c r="FL472" s="45"/>
      <c r="FM472" s="45"/>
      <c r="FN472" s="45"/>
      <c r="FO472" s="45"/>
      <c r="FP472" s="45"/>
      <c r="FQ472" s="45"/>
      <c r="FR472" s="45"/>
      <c r="FS472" s="45"/>
      <c r="FT472" s="45"/>
      <c r="FU472" s="45"/>
      <c r="FV472" s="45"/>
      <c r="FW472" s="45"/>
      <c r="FX472" s="45"/>
      <c r="FY472" s="45"/>
      <c r="FZ472" s="45"/>
      <c r="GA472" s="45"/>
      <c r="GB472" s="45"/>
      <c r="GC472" s="45"/>
      <c r="GD472" s="45"/>
      <c r="GE472" s="45"/>
      <c r="GF472" s="45"/>
      <c r="GG472" s="45"/>
      <c r="GH472" s="45"/>
      <c r="GI472" s="45"/>
      <c r="GJ472" s="45"/>
      <c r="GK472" s="45"/>
      <c r="GL472" s="45"/>
      <c r="GM472" s="45"/>
      <c r="GN472" s="45"/>
      <c r="GO472" s="45"/>
      <c r="GP472" s="45"/>
      <c r="GQ472" s="45"/>
      <c r="GR472" s="45"/>
      <c r="GS472" s="45"/>
      <c r="GT472" s="45"/>
      <c r="GU472" s="45"/>
      <c r="GV472" s="45"/>
      <c r="GW472" s="45"/>
      <c r="GX472" s="45"/>
      <c r="GY472" s="45"/>
      <c r="GZ472" s="45"/>
      <c r="HA472" s="45"/>
      <c r="HB472" s="45"/>
      <c r="HC472" s="45"/>
      <c r="HD472" s="45"/>
      <c r="HE472" s="45"/>
      <c r="HF472" s="45"/>
      <c r="HG472" s="45"/>
      <c r="HH472" s="45"/>
      <c r="HI472" s="45"/>
      <c r="HJ472" s="45"/>
      <c r="HK472" s="45"/>
      <c r="HL472" s="45"/>
      <c r="HM472" s="45"/>
      <c r="HN472" s="45"/>
      <c r="HO472" s="45"/>
      <c r="HP472" s="45"/>
      <c r="HQ472" s="45"/>
      <c r="HR472" s="45"/>
      <c r="HS472" s="45"/>
      <c r="HT472" s="45"/>
      <c r="HU472" s="45"/>
      <c r="HV472" s="45"/>
      <c r="HW472" s="45"/>
      <c r="HX472" s="45"/>
      <c r="HY472" s="45"/>
    </row>
    <row r="473" spans="1:233" s="46" customFormat="1" ht="15" customHeight="1">
      <c r="A473" s="73" t="s">
        <v>44</v>
      </c>
      <c r="B473" s="26" t="s">
        <v>10</v>
      </c>
      <c r="C473" s="26" t="s">
        <v>13</v>
      </c>
      <c r="D473" s="26" t="s">
        <v>610</v>
      </c>
      <c r="E473" s="26" t="s">
        <v>67</v>
      </c>
      <c r="F473" s="26" t="s">
        <v>44</v>
      </c>
      <c r="G473" s="26" t="s">
        <v>173</v>
      </c>
      <c r="H473" s="26" t="s">
        <v>22</v>
      </c>
      <c r="I473" s="26" t="s">
        <v>641</v>
      </c>
      <c r="J473" s="26" t="s">
        <v>16</v>
      </c>
      <c r="K473" s="27" t="s">
        <v>142</v>
      </c>
      <c r="L473" s="26">
        <f>L481+L489</f>
        <v>3206</v>
      </c>
      <c r="M473" s="26">
        <f>M481+M489</f>
        <v>1975</v>
      </c>
      <c r="N473" s="82">
        <f>M473*100/L473</f>
        <v>61.603243917654396</v>
      </c>
      <c r="O473" s="26">
        <f>O481+O489</f>
        <v>2791</v>
      </c>
      <c r="P473" s="26">
        <f>P481+P489</f>
        <v>610</v>
      </c>
      <c r="Q473" s="82">
        <f>P473*100/O473</f>
        <v>21.855965603726261</v>
      </c>
      <c r="R473" s="31">
        <v>28</v>
      </c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  <c r="BP473" s="45"/>
      <c r="BQ473" s="45"/>
      <c r="BR473" s="45"/>
      <c r="BS473" s="45"/>
      <c r="BT473" s="45"/>
      <c r="BU473" s="45"/>
      <c r="BV473" s="45"/>
      <c r="BW473" s="45"/>
      <c r="BX473" s="45"/>
      <c r="BY473" s="45"/>
      <c r="BZ473" s="45"/>
      <c r="CA473" s="45"/>
      <c r="CB473" s="45"/>
      <c r="CC473" s="45"/>
      <c r="CD473" s="45"/>
      <c r="CE473" s="45"/>
      <c r="CF473" s="45"/>
      <c r="CG473" s="45"/>
      <c r="CH473" s="45"/>
      <c r="CI473" s="45"/>
      <c r="CJ473" s="45"/>
      <c r="CK473" s="45"/>
      <c r="CL473" s="45"/>
      <c r="CM473" s="45"/>
      <c r="CN473" s="45"/>
      <c r="CO473" s="45"/>
      <c r="CP473" s="45"/>
      <c r="CQ473" s="45"/>
      <c r="CR473" s="45"/>
      <c r="CS473" s="45"/>
      <c r="CT473" s="45"/>
      <c r="CU473" s="45"/>
      <c r="CV473" s="45"/>
      <c r="CW473" s="45"/>
      <c r="CX473" s="45"/>
      <c r="CY473" s="45"/>
      <c r="CZ473" s="45"/>
      <c r="DA473" s="45"/>
      <c r="DB473" s="45"/>
      <c r="DC473" s="45"/>
      <c r="DD473" s="45"/>
      <c r="DE473" s="45"/>
      <c r="DF473" s="45"/>
      <c r="DG473" s="45"/>
      <c r="DH473" s="45"/>
      <c r="DI473" s="45"/>
      <c r="DJ473" s="45"/>
      <c r="DK473" s="45"/>
      <c r="DL473" s="45"/>
      <c r="DM473" s="45"/>
      <c r="DN473" s="45"/>
      <c r="DO473" s="45"/>
      <c r="DP473" s="45"/>
      <c r="DQ473" s="45"/>
      <c r="DR473" s="45"/>
      <c r="DS473" s="45"/>
      <c r="DT473" s="45"/>
      <c r="DU473" s="45"/>
      <c r="DV473" s="45"/>
      <c r="DW473" s="45"/>
      <c r="DX473" s="45"/>
      <c r="DY473" s="45"/>
      <c r="DZ473" s="45"/>
      <c r="EA473" s="45"/>
      <c r="EB473" s="45"/>
      <c r="EC473" s="45"/>
      <c r="ED473" s="45"/>
      <c r="EE473" s="45"/>
      <c r="EF473" s="45"/>
      <c r="EG473" s="45"/>
      <c r="EH473" s="45"/>
      <c r="EI473" s="45"/>
      <c r="EJ473" s="45"/>
      <c r="EK473" s="45"/>
      <c r="EL473" s="45"/>
      <c r="EM473" s="45"/>
      <c r="EN473" s="45"/>
      <c r="EO473" s="45"/>
      <c r="EP473" s="45"/>
      <c r="EQ473" s="45"/>
      <c r="ER473" s="45"/>
      <c r="ES473" s="45"/>
      <c r="ET473" s="45"/>
      <c r="EU473" s="45"/>
      <c r="EV473" s="45"/>
      <c r="EW473" s="45"/>
      <c r="EX473" s="45"/>
      <c r="EY473" s="45"/>
      <c r="EZ473" s="45"/>
      <c r="FA473" s="45"/>
      <c r="FB473" s="45"/>
      <c r="FC473" s="45"/>
      <c r="FD473" s="45"/>
      <c r="FE473" s="45"/>
      <c r="FF473" s="45"/>
      <c r="FG473" s="45"/>
      <c r="FH473" s="45"/>
      <c r="FI473" s="45"/>
      <c r="FJ473" s="45"/>
      <c r="FK473" s="45"/>
      <c r="FL473" s="45"/>
      <c r="FM473" s="45"/>
      <c r="FN473" s="45"/>
      <c r="FO473" s="45"/>
      <c r="FP473" s="45"/>
      <c r="FQ473" s="45"/>
      <c r="FR473" s="45"/>
      <c r="FS473" s="45"/>
      <c r="FT473" s="45"/>
      <c r="FU473" s="45"/>
      <c r="FV473" s="45"/>
      <c r="FW473" s="45"/>
      <c r="FX473" s="45"/>
      <c r="FY473" s="45"/>
      <c r="FZ473" s="45"/>
      <c r="GA473" s="45"/>
      <c r="GB473" s="45"/>
      <c r="GC473" s="45"/>
      <c r="GD473" s="45"/>
      <c r="GE473" s="45"/>
      <c r="GF473" s="45"/>
      <c r="GG473" s="45"/>
      <c r="GH473" s="45"/>
      <c r="GI473" s="45"/>
      <c r="GJ473" s="45"/>
      <c r="GK473" s="45"/>
      <c r="GL473" s="45"/>
      <c r="GM473" s="45"/>
      <c r="GN473" s="45"/>
      <c r="GO473" s="45"/>
      <c r="GP473" s="45"/>
      <c r="GQ473" s="45"/>
      <c r="GR473" s="45"/>
      <c r="GS473" s="45"/>
      <c r="GT473" s="45"/>
      <c r="GU473" s="45"/>
      <c r="GV473" s="45"/>
      <c r="GW473" s="45"/>
      <c r="GX473" s="45"/>
      <c r="GY473" s="45"/>
      <c r="GZ473" s="45"/>
      <c r="HA473" s="45"/>
      <c r="HB473" s="45"/>
      <c r="HC473" s="45"/>
      <c r="HD473" s="45"/>
      <c r="HE473" s="45"/>
      <c r="HF473" s="45"/>
      <c r="HG473" s="45"/>
      <c r="HH473" s="45"/>
      <c r="HI473" s="45"/>
      <c r="HJ473" s="45"/>
      <c r="HK473" s="45"/>
      <c r="HL473" s="45"/>
      <c r="HM473" s="45"/>
      <c r="HN473" s="45"/>
      <c r="HO473" s="45"/>
      <c r="HP473" s="45"/>
      <c r="HQ473" s="45"/>
      <c r="HR473" s="45"/>
      <c r="HS473" s="45"/>
      <c r="HT473" s="45"/>
      <c r="HU473" s="45"/>
      <c r="HV473" s="45"/>
      <c r="HW473" s="45"/>
      <c r="HX473" s="45"/>
      <c r="HY473" s="45"/>
    </row>
    <row r="474" spans="1:233" s="46" customFormat="1" ht="15" customHeight="1">
      <c r="A474" s="73" t="s">
        <v>44</v>
      </c>
      <c r="B474" s="26" t="s">
        <v>10</v>
      </c>
      <c r="C474" s="26" t="s">
        <v>13</v>
      </c>
      <c r="D474" s="26" t="s">
        <v>610</v>
      </c>
      <c r="E474" s="26" t="s">
        <v>67</v>
      </c>
      <c r="F474" s="26" t="s">
        <v>44</v>
      </c>
      <c r="G474" s="26" t="s">
        <v>173</v>
      </c>
      <c r="H474" s="26" t="s">
        <v>22</v>
      </c>
      <c r="I474" s="26" t="s">
        <v>641</v>
      </c>
      <c r="J474" s="26" t="s">
        <v>16</v>
      </c>
      <c r="K474" s="27" t="s">
        <v>24</v>
      </c>
      <c r="L474" s="26">
        <f t="shared" ref="L474:M474" si="43">L482+L490</f>
        <v>660</v>
      </c>
      <c r="M474" s="26">
        <f t="shared" si="43"/>
        <v>260</v>
      </c>
      <c r="N474" s="82">
        <f t="shared" ref="N474:N480" si="44">M474*100/L474</f>
        <v>39.393939393939391</v>
      </c>
      <c r="O474" s="26">
        <f t="shared" ref="O474:P474" si="45">O482+O490</f>
        <v>253</v>
      </c>
      <c r="P474" s="26">
        <f t="shared" si="45"/>
        <v>13</v>
      </c>
      <c r="Q474" s="82">
        <f t="shared" ref="Q474:Q480" si="46">P474*100/O474</f>
        <v>5.1383399209486162</v>
      </c>
      <c r="R474" s="31">
        <v>28</v>
      </c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  <c r="BP474" s="45"/>
      <c r="BQ474" s="45"/>
      <c r="BR474" s="45"/>
      <c r="BS474" s="45"/>
      <c r="BT474" s="45"/>
      <c r="BU474" s="45"/>
      <c r="BV474" s="45"/>
      <c r="BW474" s="45"/>
      <c r="BX474" s="45"/>
      <c r="BY474" s="45"/>
      <c r="BZ474" s="45"/>
      <c r="CA474" s="45"/>
      <c r="CB474" s="45"/>
      <c r="CC474" s="45"/>
      <c r="CD474" s="45"/>
      <c r="CE474" s="45"/>
      <c r="CF474" s="45"/>
      <c r="CG474" s="45"/>
      <c r="CH474" s="45"/>
      <c r="CI474" s="45"/>
      <c r="CJ474" s="45"/>
      <c r="CK474" s="45"/>
      <c r="CL474" s="45"/>
      <c r="CM474" s="45"/>
      <c r="CN474" s="45"/>
      <c r="CO474" s="45"/>
      <c r="CP474" s="45"/>
      <c r="CQ474" s="45"/>
      <c r="CR474" s="45"/>
      <c r="CS474" s="45"/>
      <c r="CT474" s="45"/>
      <c r="CU474" s="45"/>
      <c r="CV474" s="45"/>
      <c r="CW474" s="45"/>
      <c r="CX474" s="45"/>
      <c r="CY474" s="45"/>
      <c r="CZ474" s="45"/>
      <c r="DA474" s="45"/>
      <c r="DB474" s="45"/>
      <c r="DC474" s="45"/>
      <c r="DD474" s="45"/>
      <c r="DE474" s="45"/>
      <c r="DF474" s="45"/>
      <c r="DG474" s="45"/>
      <c r="DH474" s="45"/>
      <c r="DI474" s="45"/>
      <c r="DJ474" s="45"/>
      <c r="DK474" s="45"/>
      <c r="DL474" s="45"/>
      <c r="DM474" s="45"/>
      <c r="DN474" s="45"/>
      <c r="DO474" s="45"/>
      <c r="DP474" s="45"/>
      <c r="DQ474" s="45"/>
      <c r="DR474" s="45"/>
      <c r="DS474" s="45"/>
      <c r="DT474" s="45"/>
      <c r="DU474" s="45"/>
      <c r="DV474" s="45"/>
      <c r="DW474" s="45"/>
      <c r="DX474" s="45"/>
      <c r="DY474" s="45"/>
      <c r="DZ474" s="45"/>
      <c r="EA474" s="45"/>
      <c r="EB474" s="45"/>
      <c r="EC474" s="45"/>
      <c r="ED474" s="45"/>
      <c r="EE474" s="45"/>
      <c r="EF474" s="45"/>
      <c r="EG474" s="45"/>
      <c r="EH474" s="45"/>
      <c r="EI474" s="45"/>
      <c r="EJ474" s="45"/>
      <c r="EK474" s="45"/>
      <c r="EL474" s="45"/>
      <c r="EM474" s="45"/>
      <c r="EN474" s="45"/>
      <c r="EO474" s="45"/>
      <c r="EP474" s="45"/>
      <c r="EQ474" s="45"/>
      <c r="ER474" s="45"/>
      <c r="ES474" s="45"/>
      <c r="ET474" s="45"/>
      <c r="EU474" s="45"/>
      <c r="EV474" s="45"/>
      <c r="EW474" s="45"/>
      <c r="EX474" s="45"/>
      <c r="EY474" s="45"/>
      <c r="EZ474" s="45"/>
      <c r="FA474" s="45"/>
      <c r="FB474" s="45"/>
      <c r="FC474" s="45"/>
      <c r="FD474" s="45"/>
      <c r="FE474" s="45"/>
      <c r="FF474" s="45"/>
      <c r="FG474" s="45"/>
      <c r="FH474" s="45"/>
      <c r="FI474" s="45"/>
      <c r="FJ474" s="45"/>
      <c r="FK474" s="45"/>
      <c r="FL474" s="45"/>
      <c r="FM474" s="45"/>
      <c r="FN474" s="45"/>
      <c r="FO474" s="45"/>
      <c r="FP474" s="45"/>
      <c r="FQ474" s="45"/>
      <c r="FR474" s="45"/>
      <c r="FS474" s="45"/>
      <c r="FT474" s="45"/>
      <c r="FU474" s="45"/>
      <c r="FV474" s="45"/>
      <c r="FW474" s="45"/>
      <c r="FX474" s="45"/>
      <c r="FY474" s="45"/>
      <c r="FZ474" s="45"/>
      <c r="GA474" s="45"/>
      <c r="GB474" s="45"/>
      <c r="GC474" s="45"/>
      <c r="GD474" s="45"/>
      <c r="GE474" s="45"/>
      <c r="GF474" s="45"/>
      <c r="GG474" s="45"/>
      <c r="GH474" s="45"/>
      <c r="GI474" s="45"/>
      <c r="GJ474" s="45"/>
      <c r="GK474" s="45"/>
      <c r="GL474" s="45"/>
      <c r="GM474" s="45"/>
      <c r="GN474" s="45"/>
      <c r="GO474" s="45"/>
      <c r="GP474" s="45"/>
      <c r="GQ474" s="45"/>
      <c r="GR474" s="45"/>
      <c r="GS474" s="45"/>
      <c r="GT474" s="45"/>
      <c r="GU474" s="45"/>
      <c r="GV474" s="45"/>
      <c r="GW474" s="45"/>
      <c r="GX474" s="45"/>
      <c r="GY474" s="45"/>
      <c r="GZ474" s="45"/>
      <c r="HA474" s="45"/>
      <c r="HB474" s="45"/>
      <c r="HC474" s="45"/>
      <c r="HD474" s="45"/>
      <c r="HE474" s="45"/>
      <c r="HF474" s="45"/>
      <c r="HG474" s="45"/>
      <c r="HH474" s="45"/>
      <c r="HI474" s="45"/>
      <c r="HJ474" s="45"/>
      <c r="HK474" s="45"/>
      <c r="HL474" s="45"/>
      <c r="HM474" s="45"/>
      <c r="HN474" s="45"/>
      <c r="HO474" s="45"/>
      <c r="HP474" s="45"/>
      <c r="HQ474" s="45"/>
      <c r="HR474" s="45"/>
      <c r="HS474" s="45"/>
      <c r="HT474" s="45"/>
      <c r="HU474" s="45"/>
      <c r="HV474" s="45"/>
      <c r="HW474" s="45"/>
      <c r="HX474" s="45"/>
      <c r="HY474" s="45"/>
    </row>
    <row r="475" spans="1:233" s="46" customFormat="1" ht="15" customHeight="1">
      <c r="A475" s="73" t="s">
        <v>44</v>
      </c>
      <c r="B475" s="26" t="s">
        <v>10</v>
      </c>
      <c r="C475" s="26" t="s">
        <v>13</v>
      </c>
      <c r="D475" s="26" t="s">
        <v>610</v>
      </c>
      <c r="E475" s="26" t="s">
        <v>67</v>
      </c>
      <c r="F475" s="26" t="s">
        <v>44</v>
      </c>
      <c r="G475" s="26" t="s">
        <v>173</v>
      </c>
      <c r="H475" s="26" t="s">
        <v>22</v>
      </c>
      <c r="I475" s="26" t="s">
        <v>641</v>
      </c>
      <c r="J475" s="26" t="s">
        <v>16</v>
      </c>
      <c r="K475" s="27" t="s">
        <v>25</v>
      </c>
      <c r="L475" s="26">
        <f t="shared" ref="L475:M475" si="47">L483+L491</f>
        <v>399</v>
      </c>
      <c r="M475" s="26">
        <f t="shared" si="47"/>
        <v>210</v>
      </c>
      <c r="N475" s="82">
        <f t="shared" si="44"/>
        <v>52.631578947368418</v>
      </c>
      <c r="O475" s="26">
        <f t="shared" ref="O475:P475" si="48">O483+O491</f>
        <v>398</v>
      </c>
      <c r="P475" s="26">
        <f t="shared" si="48"/>
        <v>45</v>
      </c>
      <c r="Q475" s="82">
        <f t="shared" si="46"/>
        <v>11.306532663316583</v>
      </c>
      <c r="R475" s="31">
        <v>28</v>
      </c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  <c r="BP475" s="45"/>
      <c r="BQ475" s="45"/>
      <c r="BR475" s="45"/>
      <c r="BS475" s="45"/>
      <c r="BT475" s="45"/>
      <c r="BU475" s="45"/>
      <c r="BV475" s="45"/>
      <c r="BW475" s="45"/>
      <c r="BX475" s="45"/>
      <c r="BY475" s="45"/>
      <c r="BZ475" s="45"/>
      <c r="CA475" s="45"/>
      <c r="CB475" s="45"/>
      <c r="CC475" s="45"/>
      <c r="CD475" s="45"/>
      <c r="CE475" s="45"/>
      <c r="CF475" s="45"/>
      <c r="CG475" s="45"/>
      <c r="CH475" s="45"/>
      <c r="CI475" s="45"/>
      <c r="CJ475" s="45"/>
      <c r="CK475" s="45"/>
      <c r="CL475" s="45"/>
      <c r="CM475" s="45"/>
      <c r="CN475" s="45"/>
      <c r="CO475" s="45"/>
      <c r="CP475" s="45"/>
      <c r="CQ475" s="45"/>
      <c r="CR475" s="45"/>
      <c r="CS475" s="45"/>
      <c r="CT475" s="45"/>
      <c r="CU475" s="45"/>
      <c r="CV475" s="45"/>
      <c r="CW475" s="45"/>
      <c r="CX475" s="45"/>
      <c r="CY475" s="45"/>
      <c r="CZ475" s="45"/>
      <c r="DA475" s="45"/>
      <c r="DB475" s="45"/>
      <c r="DC475" s="45"/>
      <c r="DD475" s="45"/>
      <c r="DE475" s="45"/>
      <c r="DF475" s="45"/>
      <c r="DG475" s="45"/>
      <c r="DH475" s="45"/>
      <c r="DI475" s="45"/>
      <c r="DJ475" s="45"/>
      <c r="DK475" s="45"/>
      <c r="DL475" s="45"/>
      <c r="DM475" s="45"/>
      <c r="DN475" s="45"/>
      <c r="DO475" s="45"/>
      <c r="DP475" s="45"/>
      <c r="DQ475" s="45"/>
      <c r="DR475" s="45"/>
      <c r="DS475" s="45"/>
      <c r="DT475" s="45"/>
      <c r="DU475" s="45"/>
      <c r="DV475" s="45"/>
      <c r="DW475" s="45"/>
      <c r="DX475" s="45"/>
      <c r="DY475" s="45"/>
      <c r="DZ475" s="45"/>
      <c r="EA475" s="45"/>
      <c r="EB475" s="45"/>
      <c r="EC475" s="45"/>
      <c r="ED475" s="45"/>
      <c r="EE475" s="45"/>
      <c r="EF475" s="45"/>
      <c r="EG475" s="45"/>
      <c r="EH475" s="45"/>
      <c r="EI475" s="45"/>
      <c r="EJ475" s="45"/>
      <c r="EK475" s="45"/>
      <c r="EL475" s="45"/>
      <c r="EM475" s="45"/>
      <c r="EN475" s="45"/>
      <c r="EO475" s="45"/>
      <c r="EP475" s="45"/>
      <c r="EQ475" s="45"/>
      <c r="ER475" s="45"/>
      <c r="ES475" s="45"/>
      <c r="ET475" s="45"/>
      <c r="EU475" s="45"/>
      <c r="EV475" s="45"/>
      <c r="EW475" s="45"/>
      <c r="EX475" s="45"/>
      <c r="EY475" s="45"/>
      <c r="EZ475" s="45"/>
      <c r="FA475" s="45"/>
      <c r="FB475" s="45"/>
      <c r="FC475" s="45"/>
      <c r="FD475" s="45"/>
      <c r="FE475" s="45"/>
      <c r="FF475" s="45"/>
      <c r="FG475" s="45"/>
      <c r="FH475" s="45"/>
      <c r="FI475" s="45"/>
      <c r="FJ475" s="45"/>
      <c r="FK475" s="45"/>
      <c r="FL475" s="45"/>
      <c r="FM475" s="45"/>
      <c r="FN475" s="45"/>
      <c r="FO475" s="45"/>
      <c r="FP475" s="45"/>
      <c r="FQ475" s="45"/>
      <c r="FR475" s="45"/>
      <c r="FS475" s="45"/>
      <c r="FT475" s="45"/>
      <c r="FU475" s="45"/>
      <c r="FV475" s="45"/>
      <c r="FW475" s="45"/>
      <c r="FX475" s="45"/>
      <c r="FY475" s="45"/>
      <c r="FZ475" s="45"/>
      <c r="GA475" s="45"/>
      <c r="GB475" s="45"/>
      <c r="GC475" s="45"/>
      <c r="GD475" s="45"/>
      <c r="GE475" s="45"/>
      <c r="GF475" s="45"/>
      <c r="GG475" s="45"/>
      <c r="GH475" s="45"/>
      <c r="GI475" s="45"/>
      <c r="GJ475" s="45"/>
      <c r="GK475" s="45"/>
      <c r="GL475" s="45"/>
      <c r="GM475" s="45"/>
      <c r="GN475" s="45"/>
      <c r="GO475" s="45"/>
      <c r="GP475" s="45"/>
      <c r="GQ475" s="45"/>
      <c r="GR475" s="45"/>
      <c r="GS475" s="45"/>
      <c r="GT475" s="45"/>
      <c r="GU475" s="45"/>
      <c r="GV475" s="45"/>
      <c r="GW475" s="45"/>
      <c r="GX475" s="45"/>
      <c r="GY475" s="45"/>
      <c r="GZ475" s="45"/>
      <c r="HA475" s="45"/>
      <c r="HB475" s="45"/>
      <c r="HC475" s="45"/>
      <c r="HD475" s="45"/>
      <c r="HE475" s="45"/>
      <c r="HF475" s="45"/>
      <c r="HG475" s="45"/>
      <c r="HH475" s="45"/>
      <c r="HI475" s="45"/>
      <c r="HJ475" s="45"/>
      <c r="HK475" s="45"/>
      <c r="HL475" s="45"/>
      <c r="HM475" s="45"/>
      <c r="HN475" s="45"/>
      <c r="HO475" s="45"/>
      <c r="HP475" s="45"/>
      <c r="HQ475" s="45"/>
      <c r="HR475" s="45"/>
      <c r="HS475" s="45"/>
      <c r="HT475" s="45"/>
      <c r="HU475" s="45"/>
      <c r="HV475" s="45"/>
      <c r="HW475" s="45"/>
      <c r="HX475" s="45"/>
      <c r="HY475" s="45"/>
    </row>
    <row r="476" spans="1:233" s="46" customFormat="1" ht="15" customHeight="1">
      <c r="A476" s="73" t="s">
        <v>44</v>
      </c>
      <c r="B476" s="26" t="s">
        <v>10</v>
      </c>
      <c r="C476" s="26" t="s">
        <v>13</v>
      </c>
      <c r="D476" s="26" t="s">
        <v>610</v>
      </c>
      <c r="E476" s="26" t="s">
        <v>67</v>
      </c>
      <c r="F476" s="26" t="s">
        <v>44</v>
      </c>
      <c r="G476" s="26" t="s">
        <v>173</v>
      </c>
      <c r="H476" s="26" t="s">
        <v>22</v>
      </c>
      <c r="I476" s="26" t="s">
        <v>641</v>
      </c>
      <c r="J476" s="26" t="s">
        <v>16</v>
      </c>
      <c r="K476" s="27" t="s">
        <v>26</v>
      </c>
      <c r="L476" s="26">
        <f t="shared" ref="L476:M476" si="49">L484+L492</f>
        <v>387</v>
      </c>
      <c r="M476" s="26">
        <f t="shared" si="49"/>
        <v>241</v>
      </c>
      <c r="N476" s="82">
        <f t="shared" si="44"/>
        <v>62.273901808785531</v>
      </c>
      <c r="O476" s="26">
        <f t="shared" ref="O476:P476" si="50">O484+O492</f>
        <v>387</v>
      </c>
      <c r="P476" s="26">
        <f t="shared" si="50"/>
        <v>64</v>
      </c>
      <c r="Q476" s="82">
        <f t="shared" si="46"/>
        <v>16.537467700258397</v>
      </c>
      <c r="R476" s="31">
        <v>28</v>
      </c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  <c r="BP476" s="45"/>
      <c r="BQ476" s="45"/>
      <c r="BR476" s="45"/>
      <c r="BS476" s="45"/>
      <c r="BT476" s="45"/>
      <c r="BU476" s="45"/>
      <c r="BV476" s="45"/>
      <c r="BW476" s="45"/>
      <c r="BX476" s="45"/>
      <c r="BY476" s="45"/>
      <c r="BZ476" s="45"/>
      <c r="CA476" s="45"/>
      <c r="CB476" s="45"/>
      <c r="CC476" s="45"/>
      <c r="CD476" s="45"/>
      <c r="CE476" s="45"/>
      <c r="CF476" s="45"/>
      <c r="CG476" s="45"/>
      <c r="CH476" s="45"/>
      <c r="CI476" s="45"/>
      <c r="CJ476" s="45"/>
      <c r="CK476" s="45"/>
      <c r="CL476" s="45"/>
      <c r="CM476" s="45"/>
      <c r="CN476" s="45"/>
      <c r="CO476" s="45"/>
      <c r="CP476" s="45"/>
      <c r="CQ476" s="45"/>
      <c r="CR476" s="45"/>
      <c r="CS476" s="45"/>
      <c r="CT476" s="45"/>
      <c r="CU476" s="45"/>
      <c r="CV476" s="45"/>
      <c r="CW476" s="45"/>
      <c r="CX476" s="45"/>
      <c r="CY476" s="45"/>
      <c r="CZ476" s="45"/>
      <c r="DA476" s="45"/>
      <c r="DB476" s="45"/>
      <c r="DC476" s="45"/>
      <c r="DD476" s="45"/>
      <c r="DE476" s="45"/>
      <c r="DF476" s="45"/>
      <c r="DG476" s="45"/>
      <c r="DH476" s="45"/>
      <c r="DI476" s="45"/>
      <c r="DJ476" s="45"/>
      <c r="DK476" s="45"/>
      <c r="DL476" s="45"/>
      <c r="DM476" s="45"/>
      <c r="DN476" s="45"/>
      <c r="DO476" s="45"/>
      <c r="DP476" s="45"/>
      <c r="DQ476" s="45"/>
      <c r="DR476" s="45"/>
      <c r="DS476" s="45"/>
      <c r="DT476" s="45"/>
      <c r="DU476" s="45"/>
      <c r="DV476" s="45"/>
      <c r="DW476" s="45"/>
      <c r="DX476" s="45"/>
      <c r="DY476" s="45"/>
      <c r="DZ476" s="45"/>
      <c r="EA476" s="45"/>
      <c r="EB476" s="45"/>
      <c r="EC476" s="45"/>
      <c r="ED476" s="45"/>
      <c r="EE476" s="45"/>
      <c r="EF476" s="45"/>
      <c r="EG476" s="45"/>
      <c r="EH476" s="45"/>
      <c r="EI476" s="45"/>
      <c r="EJ476" s="45"/>
      <c r="EK476" s="45"/>
      <c r="EL476" s="45"/>
      <c r="EM476" s="45"/>
      <c r="EN476" s="45"/>
      <c r="EO476" s="45"/>
      <c r="EP476" s="45"/>
      <c r="EQ476" s="45"/>
      <c r="ER476" s="45"/>
      <c r="ES476" s="45"/>
      <c r="ET476" s="45"/>
      <c r="EU476" s="45"/>
      <c r="EV476" s="45"/>
      <c r="EW476" s="45"/>
      <c r="EX476" s="45"/>
      <c r="EY476" s="45"/>
      <c r="EZ476" s="45"/>
      <c r="FA476" s="45"/>
      <c r="FB476" s="45"/>
      <c r="FC476" s="45"/>
      <c r="FD476" s="45"/>
      <c r="FE476" s="45"/>
      <c r="FF476" s="45"/>
      <c r="FG476" s="45"/>
      <c r="FH476" s="45"/>
      <c r="FI476" s="45"/>
      <c r="FJ476" s="45"/>
      <c r="FK476" s="45"/>
      <c r="FL476" s="45"/>
      <c r="FM476" s="45"/>
      <c r="FN476" s="45"/>
      <c r="FO476" s="45"/>
      <c r="FP476" s="45"/>
      <c r="FQ476" s="45"/>
      <c r="FR476" s="45"/>
      <c r="FS476" s="45"/>
      <c r="FT476" s="45"/>
      <c r="FU476" s="45"/>
      <c r="FV476" s="45"/>
      <c r="FW476" s="45"/>
      <c r="FX476" s="45"/>
      <c r="FY476" s="45"/>
      <c r="FZ476" s="45"/>
      <c r="GA476" s="45"/>
      <c r="GB476" s="45"/>
      <c r="GC476" s="45"/>
      <c r="GD476" s="45"/>
      <c r="GE476" s="45"/>
      <c r="GF476" s="45"/>
      <c r="GG476" s="45"/>
      <c r="GH476" s="45"/>
      <c r="GI476" s="45"/>
      <c r="GJ476" s="45"/>
      <c r="GK476" s="45"/>
      <c r="GL476" s="45"/>
      <c r="GM476" s="45"/>
      <c r="GN476" s="45"/>
      <c r="GO476" s="45"/>
      <c r="GP476" s="45"/>
      <c r="GQ476" s="45"/>
      <c r="GR476" s="45"/>
      <c r="GS476" s="45"/>
      <c r="GT476" s="45"/>
      <c r="GU476" s="45"/>
      <c r="GV476" s="45"/>
      <c r="GW476" s="45"/>
      <c r="GX476" s="45"/>
      <c r="GY476" s="45"/>
      <c r="GZ476" s="45"/>
      <c r="HA476" s="45"/>
      <c r="HB476" s="45"/>
      <c r="HC476" s="45"/>
      <c r="HD476" s="45"/>
      <c r="HE476" s="45"/>
      <c r="HF476" s="45"/>
      <c r="HG476" s="45"/>
      <c r="HH476" s="45"/>
      <c r="HI476" s="45"/>
      <c r="HJ476" s="45"/>
      <c r="HK476" s="45"/>
      <c r="HL476" s="45"/>
      <c r="HM476" s="45"/>
      <c r="HN476" s="45"/>
      <c r="HO476" s="45"/>
      <c r="HP476" s="45"/>
      <c r="HQ476" s="45"/>
      <c r="HR476" s="45"/>
      <c r="HS476" s="45"/>
      <c r="HT476" s="45"/>
      <c r="HU476" s="45"/>
      <c r="HV476" s="45"/>
      <c r="HW476" s="45"/>
      <c r="HX476" s="45"/>
      <c r="HY476" s="45"/>
    </row>
    <row r="477" spans="1:233" s="46" customFormat="1" ht="15" customHeight="1">
      <c r="A477" s="73" t="s">
        <v>44</v>
      </c>
      <c r="B477" s="26" t="s">
        <v>10</v>
      </c>
      <c r="C477" s="26" t="s">
        <v>13</v>
      </c>
      <c r="D477" s="26" t="s">
        <v>610</v>
      </c>
      <c r="E477" s="26" t="s">
        <v>67</v>
      </c>
      <c r="F477" s="26" t="s">
        <v>44</v>
      </c>
      <c r="G477" s="26" t="s">
        <v>173</v>
      </c>
      <c r="H477" s="26" t="s">
        <v>22</v>
      </c>
      <c r="I477" s="26" t="s">
        <v>641</v>
      </c>
      <c r="J477" s="26" t="s">
        <v>16</v>
      </c>
      <c r="K477" s="27" t="s">
        <v>27</v>
      </c>
      <c r="L477" s="26">
        <f t="shared" ref="L477:M477" si="51">L485+L493</f>
        <v>424</v>
      </c>
      <c r="M477" s="26">
        <f t="shared" si="51"/>
        <v>291</v>
      </c>
      <c r="N477" s="82">
        <f t="shared" si="44"/>
        <v>68.632075471698116</v>
      </c>
      <c r="O477" s="26">
        <f t="shared" ref="O477:P477" si="52">O485+O493</f>
        <v>421</v>
      </c>
      <c r="P477" s="26">
        <f t="shared" si="52"/>
        <v>97</v>
      </c>
      <c r="Q477" s="82">
        <f t="shared" si="46"/>
        <v>23.040380047505938</v>
      </c>
      <c r="R477" s="31">
        <v>28</v>
      </c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  <c r="BP477" s="45"/>
      <c r="BQ477" s="45"/>
      <c r="BR477" s="45"/>
      <c r="BS477" s="45"/>
      <c r="BT477" s="45"/>
      <c r="BU477" s="45"/>
      <c r="BV477" s="45"/>
      <c r="BW477" s="45"/>
      <c r="BX477" s="45"/>
      <c r="BY477" s="45"/>
      <c r="BZ477" s="45"/>
      <c r="CA477" s="45"/>
      <c r="CB477" s="45"/>
      <c r="CC477" s="45"/>
      <c r="CD477" s="45"/>
      <c r="CE477" s="45"/>
      <c r="CF477" s="45"/>
      <c r="CG477" s="45"/>
      <c r="CH477" s="45"/>
      <c r="CI477" s="45"/>
      <c r="CJ477" s="45"/>
      <c r="CK477" s="45"/>
      <c r="CL477" s="45"/>
      <c r="CM477" s="45"/>
      <c r="CN477" s="45"/>
      <c r="CO477" s="45"/>
      <c r="CP477" s="45"/>
      <c r="CQ477" s="45"/>
      <c r="CR477" s="45"/>
      <c r="CS477" s="45"/>
      <c r="CT477" s="45"/>
      <c r="CU477" s="45"/>
      <c r="CV477" s="45"/>
      <c r="CW477" s="45"/>
      <c r="CX477" s="45"/>
      <c r="CY477" s="45"/>
      <c r="CZ477" s="45"/>
      <c r="DA477" s="45"/>
      <c r="DB477" s="45"/>
      <c r="DC477" s="45"/>
      <c r="DD477" s="45"/>
      <c r="DE477" s="45"/>
      <c r="DF477" s="45"/>
      <c r="DG477" s="45"/>
      <c r="DH477" s="45"/>
      <c r="DI477" s="45"/>
      <c r="DJ477" s="45"/>
      <c r="DK477" s="45"/>
      <c r="DL477" s="45"/>
      <c r="DM477" s="45"/>
      <c r="DN477" s="45"/>
      <c r="DO477" s="45"/>
      <c r="DP477" s="45"/>
      <c r="DQ477" s="45"/>
      <c r="DR477" s="45"/>
      <c r="DS477" s="45"/>
      <c r="DT477" s="45"/>
      <c r="DU477" s="45"/>
      <c r="DV477" s="45"/>
      <c r="DW477" s="45"/>
      <c r="DX477" s="45"/>
      <c r="DY477" s="45"/>
      <c r="DZ477" s="45"/>
      <c r="EA477" s="45"/>
      <c r="EB477" s="45"/>
      <c r="EC477" s="45"/>
      <c r="ED477" s="45"/>
      <c r="EE477" s="45"/>
      <c r="EF477" s="45"/>
      <c r="EG477" s="45"/>
      <c r="EH477" s="45"/>
      <c r="EI477" s="45"/>
      <c r="EJ477" s="45"/>
      <c r="EK477" s="45"/>
      <c r="EL477" s="45"/>
      <c r="EM477" s="45"/>
      <c r="EN477" s="45"/>
      <c r="EO477" s="45"/>
      <c r="EP477" s="45"/>
      <c r="EQ477" s="45"/>
      <c r="ER477" s="45"/>
      <c r="ES477" s="45"/>
      <c r="ET477" s="45"/>
      <c r="EU477" s="45"/>
      <c r="EV477" s="45"/>
      <c r="EW477" s="45"/>
      <c r="EX477" s="45"/>
      <c r="EY477" s="45"/>
      <c r="EZ477" s="45"/>
      <c r="FA477" s="45"/>
      <c r="FB477" s="45"/>
      <c r="FC477" s="45"/>
      <c r="FD477" s="45"/>
      <c r="FE477" s="45"/>
      <c r="FF477" s="45"/>
      <c r="FG477" s="45"/>
      <c r="FH477" s="45"/>
      <c r="FI477" s="45"/>
      <c r="FJ477" s="45"/>
      <c r="FK477" s="45"/>
      <c r="FL477" s="45"/>
      <c r="FM477" s="45"/>
      <c r="FN477" s="45"/>
      <c r="FO477" s="45"/>
      <c r="FP477" s="45"/>
      <c r="FQ477" s="45"/>
      <c r="FR477" s="45"/>
      <c r="FS477" s="45"/>
      <c r="FT477" s="45"/>
      <c r="FU477" s="45"/>
      <c r="FV477" s="45"/>
      <c r="FW477" s="45"/>
      <c r="FX477" s="45"/>
      <c r="FY477" s="45"/>
      <c r="FZ477" s="45"/>
      <c r="GA477" s="45"/>
      <c r="GB477" s="45"/>
      <c r="GC477" s="45"/>
      <c r="GD477" s="45"/>
      <c r="GE477" s="45"/>
      <c r="GF477" s="45"/>
      <c r="GG477" s="45"/>
      <c r="GH477" s="45"/>
      <c r="GI477" s="45"/>
      <c r="GJ477" s="45"/>
      <c r="GK477" s="45"/>
      <c r="GL477" s="45"/>
      <c r="GM477" s="45"/>
      <c r="GN477" s="45"/>
      <c r="GO477" s="45"/>
      <c r="GP477" s="45"/>
      <c r="GQ477" s="45"/>
      <c r="GR477" s="45"/>
      <c r="GS477" s="45"/>
      <c r="GT477" s="45"/>
      <c r="GU477" s="45"/>
      <c r="GV477" s="45"/>
      <c r="GW477" s="45"/>
      <c r="GX477" s="45"/>
      <c r="GY477" s="45"/>
      <c r="GZ477" s="45"/>
      <c r="HA477" s="45"/>
      <c r="HB477" s="45"/>
      <c r="HC477" s="45"/>
      <c r="HD477" s="45"/>
      <c r="HE477" s="45"/>
      <c r="HF477" s="45"/>
      <c r="HG477" s="45"/>
      <c r="HH477" s="45"/>
      <c r="HI477" s="45"/>
      <c r="HJ477" s="45"/>
      <c r="HK477" s="45"/>
      <c r="HL477" s="45"/>
      <c r="HM477" s="45"/>
      <c r="HN477" s="45"/>
      <c r="HO477" s="45"/>
      <c r="HP477" s="45"/>
      <c r="HQ477" s="45"/>
      <c r="HR477" s="45"/>
      <c r="HS477" s="45"/>
      <c r="HT477" s="45"/>
      <c r="HU477" s="45"/>
      <c r="HV477" s="45"/>
      <c r="HW477" s="45"/>
      <c r="HX477" s="45"/>
      <c r="HY477" s="45"/>
    </row>
    <row r="478" spans="1:233" s="46" customFormat="1" ht="15" customHeight="1">
      <c r="A478" s="73" t="s">
        <v>44</v>
      </c>
      <c r="B478" s="26" t="s">
        <v>10</v>
      </c>
      <c r="C478" s="26" t="s">
        <v>13</v>
      </c>
      <c r="D478" s="26" t="s">
        <v>610</v>
      </c>
      <c r="E478" s="26" t="s">
        <v>67</v>
      </c>
      <c r="F478" s="26" t="s">
        <v>44</v>
      </c>
      <c r="G478" s="26" t="s">
        <v>173</v>
      </c>
      <c r="H478" s="26" t="s">
        <v>22</v>
      </c>
      <c r="I478" s="26" t="s">
        <v>641</v>
      </c>
      <c r="J478" s="26" t="s">
        <v>16</v>
      </c>
      <c r="K478" s="27" t="s">
        <v>28</v>
      </c>
      <c r="L478" s="26">
        <f t="shared" ref="L478:M478" si="53">L486+L494</f>
        <v>473</v>
      </c>
      <c r="M478" s="26">
        <f t="shared" si="53"/>
        <v>342</v>
      </c>
      <c r="N478" s="82">
        <f t="shared" si="44"/>
        <v>72.304439746300218</v>
      </c>
      <c r="O478" s="26">
        <f t="shared" ref="O478:P478" si="54">O486+O494</f>
        <v>472</v>
      </c>
      <c r="P478" s="26">
        <f t="shared" si="54"/>
        <v>117</v>
      </c>
      <c r="Q478" s="82">
        <f t="shared" si="46"/>
        <v>24.788135593220339</v>
      </c>
      <c r="R478" s="31">
        <v>28</v>
      </c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  <c r="BP478" s="45"/>
      <c r="BQ478" s="45"/>
      <c r="BR478" s="45"/>
      <c r="BS478" s="45"/>
      <c r="BT478" s="45"/>
      <c r="BU478" s="45"/>
      <c r="BV478" s="45"/>
      <c r="BW478" s="45"/>
      <c r="BX478" s="45"/>
      <c r="BY478" s="45"/>
      <c r="BZ478" s="45"/>
      <c r="CA478" s="45"/>
      <c r="CB478" s="45"/>
      <c r="CC478" s="45"/>
      <c r="CD478" s="45"/>
      <c r="CE478" s="45"/>
      <c r="CF478" s="45"/>
      <c r="CG478" s="45"/>
      <c r="CH478" s="45"/>
      <c r="CI478" s="45"/>
      <c r="CJ478" s="45"/>
      <c r="CK478" s="45"/>
      <c r="CL478" s="45"/>
      <c r="CM478" s="45"/>
      <c r="CN478" s="45"/>
      <c r="CO478" s="45"/>
      <c r="CP478" s="45"/>
      <c r="CQ478" s="45"/>
      <c r="CR478" s="45"/>
      <c r="CS478" s="45"/>
      <c r="CT478" s="45"/>
      <c r="CU478" s="45"/>
      <c r="CV478" s="45"/>
      <c r="CW478" s="45"/>
      <c r="CX478" s="45"/>
      <c r="CY478" s="45"/>
      <c r="CZ478" s="45"/>
      <c r="DA478" s="45"/>
      <c r="DB478" s="45"/>
      <c r="DC478" s="45"/>
      <c r="DD478" s="45"/>
      <c r="DE478" s="45"/>
      <c r="DF478" s="45"/>
      <c r="DG478" s="45"/>
      <c r="DH478" s="45"/>
      <c r="DI478" s="45"/>
      <c r="DJ478" s="45"/>
      <c r="DK478" s="45"/>
      <c r="DL478" s="45"/>
      <c r="DM478" s="45"/>
      <c r="DN478" s="45"/>
      <c r="DO478" s="45"/>
      <c r="DP478" s="45"/>
      <c r="DQ478" s="45"/>
      <c r="DR478" s="45"/>
      <c r="DS478" s="45"/>
      <c r="DT478" s="45"/>
      <c r="DU478" s="45"/>
      <c r="DV478" s="45"/>
      <c r="DW478" s="45"/>
      <c r="DX478" s="45"/>
      <c r="DY478" s="45"/>
      <c r="DZ478" s="45"/>
      <c r="EA478" s="45"/>
      <c r="EB478" s="45"/>
      <c r="EC478" s="45"/>
      <c r="ED478" s="45"/>
      <c r="EE478" s="45"/>
      <c r="EF478" s="45"/>
      <c r="EG478" s="45"/>
      <c r="EH478" s="45"/>
      <c r="EI478" s="45"/>
      <c r="EJ478" s="45"/>
      <c r="EK478" s="45"/>
      <c r="EL478" s="45"/>
      <c r="EM478" s="45"/>
      <c r="EN478" s="45"/>
      <c r="EO478" s="45"/>
      <c r="EP478" s="45"/>
      <c r="EQ478" s="45"/>
      <c r="ER478" s="45"/>
      <c r="ES478" s="45"/>
      <c r="ET478" s="45"/>
      <c r="EU478" s="45"/>
      <c r="EV478" s="45"/>
      <c r="EW478" s="45"/>
      <c r="EX478" s="45"/>
      <c r="EY478" s="45"/>
      <c r="EZ478" s="45"/>
      <c r="FA478" s="45"/>
      <c r="FB478" s="45"/>
      <c r="FC478" s="45"/>
      <c r="FD478" s="45"/>
      <c r="FE478" s="45"/>
      <c r="FF478" s="45"/>
      <c r="FG478" s="45"/>
      <c r="FH478" s="45"/>
      <c r="FI478" s="45"/>
      <c r="FJ478" s="45"/>
      <c r="FK478" s="45"/>
      <c r="FL478" s="45"/>
      <c r="FM478" s="45"/>
      <c r="FN478" s="45"/>
      <c r="FO478" s="45"/>
      <c r="FP478" s="45"/>
      <c r="FQ478" s="45"/>
      <c r="FR478" s="45"/>
      <c r="FS478" s="45"/>
      <c r="FT478" s="45"/>
      <c r="FU478" s="45"/>
      <c r="FV478" s="45"/>
      <c r="FW478" s="45"/>
      <c r="FX478" s="45"/>
      <c r="FY478" s="45"/>
      <c r="FZ478" s="45"/>
      <c r="GA478" s="45"/>
      <c r="GB478" s="45"/>
      <c r="GC478" s="45"/>
      <c r="GD478" s="45"/>
      <c r="GE478" s="45"/>
      <c r="GF478" s="45"/>
      <c r="GG478" s="45"/>
      <c r="GH478" s="45"/>
      <c r="GI478" s="45"/>
      <c r="GJ478" s="45"/>
      <c r="GK478" s="45"/>
      <c r="GL478" s="45"/>
      <c r="GM478" s="45"/>
      <c r="GN478" s="45"/>
      <c r="GO478" s="45"/>
      <c r="GP478" s="45"/>
      <c r="GQ478" s="45"/>
      <c r="GR478" s="45"/>
      <c r="GS478" s="45"/>
      <c r="GT478" s="45"/>
      <c r="GU478" s="45"/>
      <c r="GV478" s="45"/>
      <c r="GW478" s="45"/>
      <c r="GX478" s="45"/>
      <c r="GY478" s="45"/>
      <c r="GZ478" s="45"/>
      <c r="HA478" s="45"/>
      <c r="HB478" s="45"/>
      <c r="HC478" s="45"/>
      <c r="HD478" s="45"/>
      <c r="HE478" s="45"/>
      <c r="HF478" s="45"/>
      <c r="HG478" s="45"/>
      <c r="HH478" s="45"/>
      <c r="HI478" s="45"/>
      <c r="HJ478" s="45"/>
      <c r="HK478" s="45"/>
      <c r="HL478" s="45"/>
      <c r="HM478" s="45"/>
      <c r="HN478" s="45"/>
      <c r="HO478" s="45"/>
      <c r="HP478" s="45"/>
      <c r="HQ478" s="45"/>
      <c r="HR478" s="45"/>
      <c r="HS478" s="45"/>
      <c r="HT478" s="45"/>
      <c r="HU478" s="45"/>
      <c r="HV478" s="45"/>
      <c r="HW478" s="45"/>
      <c r="HX478" s="45"/>
      <c r="HY478" s="45"/>
    </row>
    <row r="479" spans="1:233" s="46" customFormat="1" ht="15" customHeight="1">
      <c r="A479" s="73" t="s">
        <v>44</v>
      </c>
      <c r="B479" s="26" t="s">
        <v>10</v>
      </c>
      <c r="C479" s="26" t="s">
        <v>13</v>
      </c>
      <c r="D479" s="26" t="s">
        <v>610</v>
      </c>
      <c r="E479" s="26" t="s">
        <v>67</v>
      </c>
      <c r="F479" s="26" t="s">
        <v>44</v>
      </c>
      <c r="G479" s="26" t="s">
        <v>173</v>
      </c>
      <c r="H479" s="26" t="s">
        <v>22</v>
      </c>
      <c r="I479" s="26" t="s">
        <v>641</v>
      </c>
      <c r="J479" s="26" t="s">
        <v>16</v>
      </c>
      <c r="K479" s="27" t="s">
        <v>72</v>
      </c>
      <c r="L479" s="26">
        <f t="shared" ref="L479:M479" si="55">L487+L495</f>
        <v>424</v>
      </c>
      <c r="M479" s="26">
        <f t="shared" si="55"/>
        <v>306</v>
      </c>
      <c r="N479" s="82">
        <f t="shared" si="44"/>
        <v>72.169811320754718</v>
      </c>
      <c r="O479" s="26">
        <f t="shared" ref="O479:P479" si="56">O487+O495</f>
        <v>423</v>
      </c>
      <c r="P479" s="26">
        <f t="shared" si="56"/>
        <v>133</v>
      </c>
      <c r="Q479" s="82">
        <f t="shared" si="46"/>
        <v>31.442080378250591</v>
      </c>
      <c r="R479" s="31">
        <v>28</v>
      </c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  <c r="BP479" s="45"/>
      <c r="BQ479" s="45"/>
      <c r="BR479" s="45"/>
      <c r="BS479" s="45"/>
      <c r="BT479" s="45"/>
      <c r="BU479" s="45"/>
      <c r="BV479" s="45"/>
      <c r="BW479" s="45"/>
      <c r="BX479" s="45"/>
      <c r="BY479" s="45"/>
      <c r="BZ479" s="45"/>
      <c r="CA479" s="45"/>
      <c r="CB479" s="45"/>
      <c r="CC479" s="45"/>
      <c r="CD479" s="45"/>
      <c r="CE479" s="45"/>
      <c r="CF479" s="45"/>
      <c r="CG479" s="45"/>
      <c r="CH479" s="45"/>
      <c r="CI479" s="45"/>
      <c r="CJ479" s="45"/>
      <c r="CK479" s="45"/>
      <c r="CL479" s="45"/>
      <c r="CM479" s="45"/>
      <c r="CN479" s="45"/>
      <c r="CO479" s="45"/>
      <c r="CP479" s="45"/>
      <c r="CQ479" s="45"/>
      <c r="CR479" s="45"/>
      <c r="CS479" s="45"/>
      <c r="CT479" s="45"/>
      <c r="CU479" s="45"/>
      <c r="CV479" s="45"/>
      <c r="CW479" s="45"/>
      <c r="CX479" s="45"/>
      <c r="CY479" s="45"/>
      <c r="CZ479" s="45"/>
      <c r="DA479" s="45"/>
      <c r="DB479" s="45"/>
      <c r="DC479" s="45"/>
      <c r="DD479" s="45"/>
      <c r="DE479" s="45"/>
      <c r="DF479" s="45"/>
      <c r="DG479" s="45"/>
      <c r="DH479" s="45"/>
      <c r="DI479" s="45"/>
      <c r="DJ479" s="45"/>
      <c r="DK479" s="45"/>
      <c r="DL479" s="45"/>
      <c r="DM479" s="45"/>
      <c r="DN479" s="45"/>
      <c r="DO479" s="45"/>
      <c r="DP479" s="45"/>
      <c r="DQ479" s="45"/>
      <c r="DR479" s="45"/>
      <c r="DS479" s="45"/>
      <c r="DT479" s="45"/>
      <c r="DU479" s="45"/>
      <c r="DV479" s="45"/>
      <c r="DW479" s="45"/>
      <c r="DX479" s="45"/>
      <c r="DY479" s="45"/>
      <c r="DZ479" s="45"/>
      <c r="EA479" s="45"/>
      <c r="EB479" s="45"/>
      <c r="EC479" s="45"/>
      <c r="ED479" s="45"/>
      <c r="EE479" s="45"/>
      <c r="EF479" s="45"/>
      <c r="EG479" s="45"/>
      <c r="EH479" s="45"/>
      <c r="EI479" s="45"/>
      <c r="EJ479" s="45"/>
      <c r="EK479" s="45"/>
      <c r="EL479" s="45"/>
      <c r="EM479" s="45"/>
      <c r="EN479" s="45"/>
      <c r="EO479" s="45"/>
      <c r="EP479" s="45"/>
      <c r="EQ479" s="45"/>
      <c r="ER479" s="45"/>
      <c r="ES479" s="45"/>
      <c r="ET479" s="45"/>
      <c r="EU479" s="45"/>
      <c r="EV479" s="45"/>
      <c r="EW479" s="45"/>
      <c r="EX479" s="45"/>
      <c r="EY479" s="45"/>
      <c r="EZ479" s="45"/>
      <c r="FA479" s="45"/>
      <c r="FB479" s="45"/>
      <c r="FC479" s="45"/>
      <c r="FD479" s="45"/>
      <c r="FE479" s="45"/>
      <c r="FF479" s="45"/>
      <c r="FG479" s="45"/>
      <c r="FH479" s="45"/>
      <c r="FI479" s="45"/>
      <c r="FJ479" s="45"/>
      <c r="FK479" s="45"/>
      <c r="FL479" s="45"/>
      <c r="FM479" s="45"/>
      <c r="FN479" s="45"/>
      <c r="FO479" s="45"/>
      <c r="FP479" s="45"/>
      <c r="FQ479" s="45"/>
      <c r="FR479" s="45"/>
      <c r="FS479" s="45"/>
      <c r="FT479" s="45"/>
      <c r="FU479" s="45"/>
      <c r="FV479" s="45"/>
      <c r="FW479" s="45"/>
      <c r="FX479" s="45"/>
      <c r="FY479" s="45"/>
      <c r="FZ479" s="45"/>
      <c r="GA479" s="45"/>
      <c r="GB479" s="45"/>
      <c r="GC479" s="45"/>
      <c r="GD479" s="45"/>
      <c r="GE479" s="45"/>
      <c r="GF479" s="45"/>
      <c r="GG479" s="45"/>
      <c r="GH479" s="45"/>
      <c r="GI479" s="45"/>
      <c r="GJ479" s="45"/>
      <c r="GK479" s="45"/>
      <c r="GL479" s="45"/>
      <c r="GM479" s="45"/>
      <c r="GN479" s="45"/>
      <c r="GO479" s="45"/>
      <c r="GP479" s="45"/>
      <c r="GQ479" s="45"/>
      <c r="GR479" s="45"/>
      <c r="GS479" s="45"/>
      <c r="GT479" s="45"/>
      <c r="GU479" s="45"/>
      <c r="GV479" s="45"/>
      <c r="GW479" s="45"/>
      <c r="GX479" s="45"/>
      <c r="GY479" s="45"/>
      <c r="GZ479" s="45"/>
      <c r="HA479" s="45"/>
      <c r="HB479" s="45"/>
      <c r="HC479" s="45"/>
      <c r="HD479" s="45"/>
      <c r="HE479" s="45"/>
      <c r="HF479" s="45"/>
      <c r="HG479" s="45"/>
      <c r="HH479" s="45"/>
      <c r="HI479" s="45"/>
      <c r="HJ479" s="45"/>
      <c r="HK479" s="45"/>
      <c r="HL479" s="45"/>
      <c r="HM479" s="45"/>
      <c r="HN479" s="45"/>
      <c r="HO479" s="45"/>
      <c r="HP479" s="45"/>
      <c r="HQ479" s="45"/>
      <c r="HR479" s="45"/>
      <c r="HS479" s="45"/>
      <c r="HT479" s="45"/>
      <c r="HU479" s="45"/>
      <c r="HV479" s="45"/>
      <c r="HW479" s="45"/>
      <c r="HX479" s="45"/>
      <c r="HY479" s="45"/>
    </row>
    <row r="480" spans="1:233" s="46" customFormat="1" ht="15" customHeight="1">
      <c r="A480" s="73" t="s">
        <v>44</v>
      </c>
      <c r="B480" s="26" t="s">
        <v>10</v>
      </c>
      <c r="C480" s="26" t="s">
        <v>13</v>
      </c>
      <c r="D480" s="26" t="s">
        <v>610</v>
      </c>
      <c r="E480" s="26" t="s">
        <v>67</v>
      </c>
      <c r="F480" s="26" t="s">
        <v>44</v>
      </c>
      <c r="G480" s="26" t="s">
        <v>173</v>
      </c>
      <c r="H480" s="26" t="s">
        <v>22</v>
      </c>
      <c r="I480" s="26" t="s">
        <v>641</v>
      </c>
      <c r="J480" s="26" t="s">
        <v>16</v>
      </c>
      <c r="K480" s="27" t="s">
        <v>73</v>
      </c>
      <c r="L480" s="26">
        <f t="shared" ref="L480:M480" si="57">L488+L496</f>
        <v>439</v>
      </c>
      <c r="M480" s="26">
        <f t="shared" si="57"/>
        <v>325</v>
      </c>
      <c r="N480" s="82">
        <f t="shared" si="44"/>
        <v>74.031890660592254</v>
      </c>
      <c r="O480" s="26">
        <f t="shared" ref="O480:P480" si="58">O488+O496</f>
        <v>437</v>
      </c>
      <c r="P480" s="26">
        <f t="shared" si="58"/>
        <v>141</v>
      </c>
      <c r="Q480" s="82">
        <f t="shared" si="46"/>
        <v>32.265446224256294</v>
      </c>
      <c r="R480" s="31">
        <v>28</v>
      </c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  <c r="BP480" s="45"/>
      <c r="BQ480" s="45"/>
      <c r="BR480" s="45"/>
      <c r="BS480" s="45"/>
      <c r="BT480" s="45"/>
      <c r="BU480" s="45"/>
      <c r="BV480" s="45"/>
      <c r="BW480" s="45"/>
      <c r="BX480" s="45"/>
      <c r="BY480" s="45"/>
      <c r="BZ480" s="45"/>
      <c r="CA480" s="45"/>
      <c r="CB480" s="45"/>
      <c r="CC480" s="45"/>
      <c r="CD480" s="45"/>
      <c r="CE480" s="45"/>
      <c r="CF480" s="45"/>
      <c r="CG480" s="45"/>
      <c r="CH480" s="45"/>
      <c r="CI480" s="45"/>
      <c r="CJ480" s="45"/>
      <c r="CK480" s="45"/>
      <c r="CL480" s="45"/>
      <c r="CM480" s="45"/>
      <c r="CN480" s="45"/>
      <c r="CO480" s="45"/>
      <c r="CP480" s="45"/>
      <c r="CQ480" s="45"/>
      <c r="CR480" s="45"/>
      <c r="CS480" s="45"/>
      <c r="CT480" s="45"/>
      <c r="CU480" s="45"/>
      <c r="CV480" s="45"/>
      <c r="CW480" s="45"/>
      <c r="CX480" s="45"/>
      <c r="CY480" s="45"/>
      <c r="CZ480" s="45"/>
      <c r="DA480" s="45"/>
      <c r="DB480" s="45"/>
      <c r="DC480" s="45"/>
      <c r="DD480" s="45"/>
      <c r="DE480" s="45"/>
      <c r="DF480" s="45"/>
      <c r="DG480" s="45"/>
      <c r="DH480" s="45"/>
      <c r="DI480" s="45"/>
      <c r="DJ480" s="45"/>
      <c r="DK480" s="45"/>
      <c r="DL480" s="45"/>
      <c r="DM480" s="45"/>
      <c r="DN480" s="45"/>
      <c r="DO480" s="45"/>
      <c r="DP480" s="45"/>
      <c r="DQ480" s="45"/>
      <c r="DR480" s="45"/>
      <c r="DS480" s="45"/>
      <c r="DT480" s="45"/>
      <c r="DU480" s="45"/>
      <c r="DV480" s="45"/>
      <c r="DW480" s="45"/>
      <c r="DX480" s="45"/>
      <c r="DY480" s="45"/>
      <c r="DZ480" s="45"/>
      <c r="EA480" s="45"/>
      <c r="EB480" s="45"/>
      <c r="EC480" s="45"/>
      <c r="ED480" s="45"/>
      <c r="EE480" s="45"/>
      <c r="EF480" s="45"/>
      <c r="EG480" s="45"/>
      <c r="EH480" s="45"/>
      <c r="EI480" s="45"/>
      <c r="EJ480" s="45"/>
      <c r="EK480" s="45"/>
      <c r="EL480" s="45"/>
      <c r="EM480" s="45"/>
      <c r="EN480" s="45"/>
      <c r="EO480" s="45"/>
      <c r="EP480" s="45"/>
      <c r="EQ480" s="45"/>
      <c r="ER480" s="45"/>
      <c r="ES480" s="45"/>
      <c r="ET480" s="45"/>
      <c r="EU480" s="45"/>
      <c r="EV480" s="45"/>
      <c r="EW480" s="45"/>
      <c r="EX480" s="45"/>
      <c r="EY480" s="45"/>
      <c r="EZ480" s="45"/>
      <c r="FA480" s="45"/>
      <c r="FB480" s="45"/>
      <c r="FC480" s="45"/>
      <c r="FD480" s="45"/>
      <c r="FE480" s="45"/>
      <c r="FF480" s="45"/>
      <c r="FG480" s="45"/>
      <c r="FH480" s="45"/>
      <c r="FI480" s="45"/>
      <c r="FJ480" s="45"/>
      <c r="FK480" s="45"/>
      <c r="FL480" s="45"/>
      <c r="FM480" s="45"/>
      <c r="FN480" s="45"/>
      <c r="FO480" s="45"/>
      <c r="FP480" s="45"/>
      <c r="FQ480" s="45"/>
      <c r="FR480" s="45"/>
      <c r="FS480" s="45"/>
      <c r="FT480" s="45"/>
      <c r="FU480" s="45"/>
      <c r="FV480" s="45"/>
      <c r="FW480" s="45"/>
      <c r="FX480" s="45"/>
      <c r="FY480" s="45"/>
      <c r="FZ480" s="45"/>
      <c r="GA480" s="45"/>
      <c r="GB480" s="45"/>
      <c r="GC480" s="45"/>
      <c r="GD480" s="45"/>
      <c r="GE480" s="45"/>
      <c r="GF480" s="45"/>
      <c r="GG480" s="45"/>
      <c r="GH480" s="45"/>
      <c r="GI480" s="45"/>
      <c r="GJ480" s="45"/>
      <c r="GK480" s="45"/>
      <c r="GL480" s="45"/>
      <c r="GM480" s="45"/>
      <c r="GN480" s="45"/>
      <c r="GO480" s="45"/>
      <c r="GP480" s="45"/>
      <c r="GQ480" s="45"/>
      <c r="GR480" s="45"/>
      <c r="GS480" s="45"/>
      <c r="GT480" s="45"/>
      <c r="GU480" s="45"/>
      <c r="GV480" s="45"/>
      <c r="GW480" s="45"/>
      <c r="GX480" s="45"/>
      <c r="GY480" s="45"/>
      <c r="GZ480" s="45"/>
      <c r="HA480" s="45"/>
      <c r="HB480" s="45"/>
      <c r="HC480" s="45"/>
      <c r="HD480" s="45"/>
      <c r="HE480" s="45"/>
      <c r="HF480" s="45"/>
      <c r="HG480" s="45"/>
      <c r="HH480" s="45"/>
      <c r="HI480" s="45"/>
      <c r="HJ480" s="45"/>
      <c r="HK480" s="45"/>
      <c r="HL480" s="45"/>
      <c r="HM480" s="45"/>
      <c r="HN480" s="45"/>
      <c r="HO480" s="45"/>
      <c r="HP480" s="45"/>
      <c r="HQ480" s="45"/>
      <c r="HR480" s="45"/>
      <c r="HS480" s="45"/>
      <c r="HT480" s="45"/>
      <c r="HU480" s="45"/>
      <c r="HV480" s="45"/>
      <c r="HW480" s="45"/>
      <c r="HX480" s="45"/>
      <c r="HY480" s="45"/>
    </row>
    <row r="481" spans="1:233" s="46" customFormat="1" ht="15" customHeight="1">
      <c r="A481" s="73" t="s">
        <v>44</v>
      </c>
      <c r="B481" s="26" t="s">
        <v>10</v>
      </c>
      <c r="C481" s="26" t="s">
        <v>13</v>
      </c>
      <c r="D481" s="26" t="s">
        <v>610</v>
      </c>
      <c r="E481" s="26" t="s">
        <v>67</v>
      </c>
      <c r="F481" s="26" t="s">
        <v>44</v>
      </c>
      <c r="G481" s="26" t="s">
        <v>173</v>
      </c>
      <c r="H481" s="26" t="s">
        <v>22</v>
      </c>
      <c r="I481" s="26" t="s">
        <v>641</v>
      </c>
      <c r="J481" s="26" t="s">
        <v>23</v>
      </c>
      <c r="K481" s="27" t="s">
        <v>142</v>
      </c>
      <c r="L481" s="26">
        <f>SUM(L482:L488)</f>
        <v>1590</v>
      </c>
      <c r="M481" s="26">
        <f>SUM(M482:M488)</f>
        <v>923</v>
      </c>
      <c r="N481" s="82">
        <f>M481*100/L481</f>
        <v>58.050314465408803</v>
      </c>
      <c r="O481" s="26">
        <f>SUM(O482:O488)</f>
        <v>1366</v>
      </c>
      <c r="P481" s="26">
        <f>SUM(P482:P488)</f>
        <v>206</v>
      </c>
      <c r="Q481" s="21">
        <f>P481*100/O481</f>
        <v>15.080527086383603</v>
      </c>
      <c r="R481" s="31">
        <v>28</v>
      </c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  <c r="BP481" s="45"/>
      <c r="BQ481" s="45"/>
      <c r="BR481" s="45"/>
      <c r="BS481" s="45"/>
      <c r="BT481" s="45"/>
      <c r="BU481" s="45"/>
      <c r="BV481" s="45"/>
      <c r="BW481" s="45"/>
      <c r="BX481" s="45"/>
      <c r="BY481" s="45"/>
      <c r="BZ481" s="45"/>
      <c r="CA481" s="45"/>
      <c r="CB481" s="45"/>
      <c r="CC481" s="45"/>
      <c r="CD481" s="45"/>
      <c r="CE481" s="45"/>
      <c r="CF481" s="45"/>
      <c r="CG481" s="45"/>
      <c r="CH481" s="45"/>
      <c r="CI481" s="45"/>
      <c r="CJ481" s="45"/>
      <c r="CK481" s="45"/>
      <c r="CL481" s="45"/>
      <c r="CM481" s="45"/>
      <c r="CN481" s="45"/>
      <c r="CO481" s="45"/>
      <c r="CP481" s="45"/>
      <c r="CQ481" s="45"/>
      <c r="CR481" s="45"/>
      <c r="CS481" s="45"/>
      <c r="CT481" s="45"/>
      <c r="CU481" s="45"/>
      <c r="CV481" s="45"/>
      <c r="CW481" s="45"/>
      <c r="CX481" s="45"/>
      <c r="CY481" s="45"/>
      <c r="CZ481" s="45"/>
      <c r="DA481" s="45"/>
      <c r="DB481" s="45"/>
      <c r="DC481" s="45"/>
      <c r="DD481" s="45"/>
      <c r="DE481" s="45"/>
      <c r="DF481" s="45"/>
      <c r="DG481" s="45"/>
      <c r="DH481" s="45"/>
      <c r="DI481" s="45"/>
      <c r="DJ481" s="45"/>
      <c r="DK481" s="45"/>
      <c r="DL481" s="45"/>
      <c r="DM481" s="45"/>
      <c r="DN481" s="45"/>
      <c r="DO481" s="45"/>
      <c r="DP481" s="45"/>
      <c r="DQ481" s="45"/>
      <c r="DR481" s="45"/>
      <c r="DS481" s="45"/>
      <c r="DT481" s="45"/>
      <c r="DU481" s="45"/>
      <c r="DV481" s="45"/>
      <c r="DW481" s="45"/>
      <c r="DX481" s="45"/>
      <c r="DY481" s="45"/>
      <c r="DZ481" s="45"/>
      <c r="EA481" s="45"/>
      <c r="EB481" s="45"/>
      <c r="EC481" s="45"/>
      <c r="ED481" s="45"/>
      <c r="EE481" s="45"/>
      <c r="EF481" s="45"/>
      <c r="EG481" s="45"/>
      <c r="EH481" s="45"/>
      <c r="EI481" s="45"/>
      <c r="EJ481" s="45"/>
      <c r="EK481" s="45"/>
      <c r="EL481" s="45"/>
      <c r="EM481" s="45"/>
      <c r="EN481" s="45"/>
      <c r="EO481" s="45"/>
      <c r="EP481" s="45"/>
      <c r="EQ481" s="45"/>
      <c r="ER481" s="45"/>
      <c r="ES481" s="45"/>
      <c r="ET481" s="45"/>
      <c r="EU481" s="45"/>
      <c r="EV481" s="45"/>
      <c r="EW481" s="45"/>
      <c r="EX481" s="45"/>
      <c r="EY481" s="45"/>
      <c r="EZ481" s="45"/>
      <c r="FA481" s="45"/>
      <c r="FB481" s="45"/>
      <c r="FC481" s="45"/>
      <c r="FD481" s="45"/>
      <c r="FE481" s="45"/>
      <c r="FF481" s="45"/>
      <c r="FG481" s="45"/>
      <c r="FH481" s="45"/>
      <c r="FI481" s="45"/>
      <c r="FJ481" s="45"/>
      <c r="FK481" s="45"/>
      <c r="FL481" s="45"/>
      <c r="FM481" s="45"/>
      <c r="FN481" s="45"/>
      <c r="FO481" s="45"/>
      <c r="FP481" s="45"/>
      <c r="FQ481" s="45"/>
      <c r="FR481" s="45"/>
      <c r="FS481" s="45"/>
      <c r="FT481" s="45"/>
      <c r="FU481" s="45"/>
      <c r="FV481" s="45"/>
      <c r="FW481" s="45"/>
      <c r="FX481" s="45"/>
      <c r="FY481" s="45"/>
      <c r="FZ481" s="45"/>
      <c r="GA481" s="45"/>
      <c r="GB481" s="45"/>
      <c r="GC481" s="45"/>
      <c r="GD481" s="45"/>
      <c r="GE481" s="45"/>
      <c r="GF481" s="45"/>
      <c r="GG481" s="45"/>
      <c r="GH481" s="45"/>
      <c r="GI481" s="45"/>
      <c r="GJ481" s="45"/>
      <c r="GK481" s="45"/>
      <c r="GL481" s="45"/>
      <c r="GM481" s="45"/>
      <c r="GN481" s="45"/>
      <c r="GO481" s="45"/>
      <c r="GP481" s="45"/>
      <c r="GQ481" s="45"/>
      <c r="GR481" s="45"/>
      <c r="GS481" s="45"/>
      <c r="GT481" s="45"/>
      <c r="GU481" s="45"/>
      <c r="GV481" s="45"/>
      <c r="GW481" s="45"/>
      <c r="GX481" s="45"/>
      <c r="GY481" s="45"/>
      <c r="GZ481" s="45"/>
      <c r="HA481" s="45"/>
      <c r="HB481" s="45"/>
      <c r="HC481" s="45"/>
      <c r="HD481" s="45"/>
      <c r="HE481" s="45"/>
      <c r="HF481" s="45"/>
      <c r="HG481" s="45"/>
      <c r="HH481" s="45"/>
      <c r="HI481" s="45"/>
      <c r="HJ481" s="45"/>
      <c r="HK481" s="45"/>
      <c r="HL481" s="45"/>
      <c r="HM481" s="45"/>
      <c r="HN481" s="45"/>
      <c r="HO481" s="45"/>
      <c r="HP481" s="45"/>
      <c r="HQ481" s="45"/>
      <c r="HR481" s="45"/>
      <c r="HS481" s="45"/>
      <c r="HT481" s="45"/>
      <c r="HU481" s="45"/>
      <c r="HV481" s="45"/>
      <c r="HW481" s="45"/>
      <c r="HX481" s="45"/>
      <c r="HY481" s="45"/>
    </row>
    <row r="482" spans="1:233" s="46" customFormat="1" ht="15" customHeight="1">
      <c r="A482" s="73" t="s">
        <v>44</v>
      </c>
      <c r="B482" s="26" t="s">
        <v>10</v>
      </c>
      <c r="C482" s="26" t="s">
        <v>13</v>
      </c>
      <c r="D482" s="26" t="s">
        <v>610</v>
      </c>
      <c r="E482" s="26" t="s">
        <v>67</v>
      </c>
      <c r="F482" s="26" t="s">
        <v>44</v>
      </c>
      <c r="G482" s="26" t="s">
        <v>173</v>
      </c>
      <c r="H482" s="26" t="s">
        <v>22</v>
      </c>
      <c r="I482" s="26" t="s">
        <v>641</v>
      </c>
      <c r="J482" s="26" t="s">
        <v>23</v>
      </c>
      <c r="K482" s="27" t="s">
        <v>24</v>
      </c>
      <c r="L482" s="26">
        <v>363</v>
      </c>
      <c r="M482" s="28">
        <v>132</v>
      </c>
      <c r="N482" s="82">
        <v>36.36</v>
      </c>
      <c r="O482" s="28">
        <v>143</v>
      </c>
      <c r="P482" s="28">
        <v>2</v>
      </c>
      <c r="Q482" s="21">
        <v>1.4</v>
      </c>
      <c r="R482" s="31">
        <v>28</v>
      </c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  <c r="BP482" s="45"/>
      <c r="BQ482" s="45"/>
      <c r="BR482" s="45"/>
      <c r="BS482" s="45"/>
      <c r="BT482" s="45"/>
      <c r="BU482" s="45"/>
      <c r="BV482" s="45"/>
      <c r="BW482" s="45"/>
      <c r="BX482" s="45"/>
      <c r="BY482" s="45"/>
      <c r="BZ482" s="45"/>
      <c r="CA482" s="45"/>
      <c r="CB482" s="45"/>
      <c r="CC482" s="45"/>
      <c r="CD482" s="45"/>
      <c r="CE482" s="45"/>
      <c r="CF482" s="45"/>
      <c r="CG482" s="45"/>
      <c r="CH482" s="45"/>
      <c r="CI482" s="45"/>
      <c r="CJ482" s="45"/>
      <c r="CK482" s="45"/>
      <c r="CL482" s="45"/>
      <c r="CM482" s="45"/>
      <c r="CN482" s="45"/>
      <c r="CO482" s="45"/>
      <c r="CP482" s="45"/>
      <c r="CQ482" s="45"/>
      <c r="CR482" s="45"/>
      <c r="CS482" s="45"/>
      <c r="CT482" s="45"/>
      <c r="CU482" s="45"/>
      <c r="CV482" s="45"/>
      <c r="CW482" s="45"/>
      <c r="CX482" s="45"/>
      <c r="CY482" s="45"/>
      <c r="CZ482" s="45"/>
      <c r="DA482" s="45"/>
      <c r="DB482" s="45"/>
      <c r="DC482" s="45"/>
      <c r="DD482" s="45"/>
      <c r="DE482" s="45"/>
      <c r="DF482" s="45"/>
      <c r="DG482" s="45"/>
      <c r="DH482" s="45"/>
      <c r="DI482" s="45"/>
      <c r="DJ482" s="45"/>
      <c r="DK482" s="45"/>
      <c r="DL482" s="45"/>
      <c r="DM482" s="45"/>
      <c r="DN482" s="45"/>
      <c r="DO482" s="45"/>
      <c r="DP482" s="45"/>
      <c r="DQ482" s="45"/>
      <c r="DR482" s="45"/>
      <c r="DS482" s="45"/>
      <c r="DT482" s="45"/>
      <c r="DU482" s="45"/>
      <c r="DV482" s="45"/>
      <c r="DW482" s="45"/>
      <c r="DX482" s="45"/>
      <c r="DY482" s="45"/>
      <c r="DZ482" s="45"/>
      <c r="EA482" s="45"/>
      <c r="EB482" s="45"/>
      <c r="EC482" s="45"/>
      <c r="ED482" s="45"/>
      <c r="EE482" s="45"/>
      <c r="EF482" s="45"/>
      <c r="EG482" s="45"/>
      <c r="EH482" s="45"/>
      <c r="EI482" s="45"/>
      <c r="EJ482" s="45"/>
      <c r="EK482" s="45"/>
      <c r="EL482" s="45"/>
      <c r="EM482" s="45"/>
      <c r="EN482" s="45"/>
      <c r="EO482" s="45"/>
      <c r="EP482" s="45"/>
      <c r="EQ482" s="45"/>
      <c r="ER482" s="45"/>
      <c r="ES482" s="45"/>
      <c r="ET482" s="45"/>
      <c r="EU482" s="45"/>
      <c r="EV482" s="45"/>
      <c r="EW482" s="45"/>
      <c r="EX482" s="45"/>
      <c r="EY482" s="45"/>
      <c r="EZ482" s="45"/>
      <c r="FA482" s="45"/>
      <c r="FB482" s="45"/>
      <c r="FC482" s="45"/>
      <c r="FD482" s="45"/>
      <c r="FE482" s="45"/>
      <c r="FF482" s="45"/>
      <c r="FG482" s="45"/>
      <c r="FH482" s="45"/>
      <c r="FI482" s="45"/>
      <c r="FJ482" s="45"/>
      <c r="FK482" s="45"/>
      <c r="FL482" s="45"/>
      <c r="FM482" s="45"/>
      <c r="FN482" s="45"/>
      <c r="FO482" s="45"/>
      <c r="FP482" s="45"/>
      <c r="FQ482" s="45"/>
      <c r="FR482" s="45"/>
      <c r="FS482" s="45"/>
      <c r="FT482" s="45"/>
      <c r="FU482" s="45"/>
      <c r="FV482" s="45"/>
      <c r="FW482" s="45"/>
      <c r="FX482" s="45"/>
      <c r="FY482" s="45"/>
      <c r="FZ482" s="45"/>
      <c r="GA482" s="45"/>
      <c r="GB482" s="45"/>
      <c r="GC482" s="45"/>
      <c r="GD482" s="45"/>
      <c r="GE482" s="45"/>
      <c r="GF482" s="45"/>
      <c r="GG482" s="45"/>
      <c r="GH482" s="45"/>
      <c r="GI482" s="45"/>
      <c r="GJ482" s="45"/>
      <c r="GK482" s="45"/>
      <c r="GL482" s="45"/>
      <c r="GM482" s="45"/>
      <c r="GN482" s="45"/>
      <c r="GO482" s="45"/>
      <c r="GP482" s="45"/>
      <c r="GQ482" s="45"/>
      <c r="GR482" s="45"/>
      <c r="GS482" s="45"/>
      <c r="GT482" s="45"/>
      <c r="GU482" s="45"/>
      <c r="GV482" s="45"/>
      <c r="GW482" s="45"/>
      <c r="GX482" s="45"/>
      <c r="GY482" s="45"/>
      <c r="GZ482" s="45"/>
      <c r="HA482" s="45"/>
      <c r="HB482" s="45"/>
      <c r="HC482" s="45"/>
      <c r="HD482" s="45"/>
      <c r="HE482" s="45"/>
      <c r="HF482" s="45"/>
      <c r="HG482" s="45"/>
      <c r="HH482" s="45"/>
      <c r="HI482" s="45"/>
      <c r="HJ482" s="45"/>
      <c r="HK482" s="45"/>
      <c r="HL482" s="45"/>
      <c r="HM482" s="45"/>
      <c r="HN482" s="45"/>
      <c r="HO482" s="45"/>
      <c r="HP482" s="45"/>
      <c r="HQ482" s="45"/>
      <c r="HR482" s="45"/>
      <c r="HS482" s="45"/>
      <c r="HT482" s="45"/>
      <c r="HU482" s="45"/>
      <c r="HV482" s="45"/>
      <c r="HW482" s="45"/>
      <c r="HX482" s="45"/>
      <c r="HY482" s="45"/>
    </row>
    <row r="483" spans="1:233" s="46" customFormat="1" ht="15" customHeight="1">
      <c r="A483" s="73" t="s">
        <v>44</v>
      </c>
      <c r="B483" s="26" t="s">
        <v>10</v>
      </c>
      <c r="C483" s="26" t="s">
        <v>13</v>
      </c>
      <c r="D483" s="26" t="s">
        <v>610</v>
      </c>
      <c r="E483" s="26" t="s">
        <v>67</v>
      </c>
      <c r="F483" s="26" t="s">
        <v>44</v>
      </c>
      <c r="G483" s="26" t="s">
        <v>173</v>
      </c>
      <c r="H483" s="26" t="s">
        <v>22</v>
      </c>
      <c r="I483" s="26" t="s">
        <v>641</v>
      </c>
      <c r="J483" s="26" t="s">
        <v>23</v>
      </c>
      <c r="K483" s="27" t="s">
        <v>25</v>
      </c>
      <c r="L483" s="26">
        <v>187</v>
      </c>
      <c r="M483" s="28">
        <v>86</v>
      </c>
      <c r="N483" s="82">
        <v>45.99</v>
      </c>
      <c r="O483" s="28">
        <v>187</v>
      </c>
      <c r="P483" s="28">
        <v>16</v>
      </c>
      <c r="Q483" s="21">
        <v>8.56</v>
      </c>
      <c r="R483" s="31">
        <v>28</v>
      </c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  <c r="BP483" s="45"/>
      <c r="BQ483" s="45"/>
      <c r="BR483" s="45"/>
      <c r="BS483" s="45"/>
      <c r="BT483" s="45"/>
      <c r="BU483" s="45"/>
      <c r="BV483" s="45"/>
      <c r="BW483" s="45"/>
      <c r="BX483" s="45"/>
      <c r="BY483" s="45"/>
      <c r="BZ483" s="45"/>
      <c r="CA483" s="45"/>
      <c r="CB483" s="45"/>
      <c r="CC483" s="45"/>
      <c r="CD483" s="45"/>
      <c r="CE483" s="45"/>
      <c r="CF483" s="45"/>
      <c r="CG483" s="45"/>
      <c r="CH483" s="45"/>
      <c r="CI483" s="45"/>
      <c r="CJ483" s="45"/>
      <c r="CK483" s="45"/>
      <c r="CL483" s="45"/>
      <c r="CM483" s="45"/>
      <c r="CN483" s="45"/>
      <c r="CO483" s="45"/>
      <c r="CP483" s="45"/>
      <c r="CQ483" s="45"/>
      <c r="CR483" s="45"/>
      <c r="CS483" s="45"/>
      <c r="CT483" s="45"/>
      <c r="CU483" s="45"/>
      <c r="CV483" s="45"/>
      <c r="CW483" s="45"/>
      <c r="CX483" s="45"/>
      <c r="CY483" s="45"/>
      <c r="CZ483" s="45"/>
      <c r="DA483" s="45"/>
      <c r="DB483" s="45"/>
      <c r="DC483" s="45"/>
      <c r="DD483" s="45"/>
      <c r="DE483" s="45"/>
      <c r="DF483" s="45"/>
      <c r="DG483" s="45"/>
      <c r="DH483" s="45"/>
      <c r="DI483" s="45"/>
      <c r="DJ483" s="45"/>
      <c r="DK483" s="45"/>
      <c r="DL483" s="45"/>
      <c r="DM483" s="45"/>
      <c r="DN483" s="45"/>
      <c r="DO483" s="45"/>
      <c r="DP483" s="45"/>
      <c r="DQ483" s="45"/>
      <c r="DR483" s="45"/>
      <c r="DS483" s="45"/>
      <c r="DT483" s="45"/>
      <c r="DU483" s="45"/>
      <c r="DV483" s="45"/>
      <c r="DW483" s="45"/>
      <c r="DX483" s="45"/>
      <c r="DY483" s="45"/>
      <c r="DZ483" s="45"/>
      <c r="EA483" s="45"/>
      <c r="EB483" s="45"/>
      <c r="EC483" s="45"/>
      <c r="ED483" s="45"/>
      <c r="EE483" s="45"/>
      <c r="EF483" s="45"/>
      <c r="EG483" s="45"/>
      <c r="EH483" s="45"/>
      <c r="EI483" s="45"/>
      <c r="EJ483" s="45"/>
      <c r="EK483" s="45"/>
      <c r="EL483" s="45"/>
      <c r="EM483" s="45"/>
      <c r="EN483" s="45"/>
      <c r="EO483" s="45"/>
      <c r="EP483" s="45"/>
      <c r="EQ483" s="45"/>
      <c r="ER483" s="45"/>
      <c r="ES483" s="45"/>
      <c r="ET483" s="45"/>
      <c r="EU483" s="45"/>
      <c r="EV483" s="45"/>
      <c r="EW483" s="45"/>
      <c r="EX483" s="45"/>
      <c r="EY483" s="45"/>
      <c r="EZ483" s="45"/>
      <c r="FA483" s="45"/>
      <c r="FB483" s="45"/>
      <c r="FC483" s="45"/>
      <c r="FD483" s="45"/>
      <c r="FE483" s="45"/>
      <c r="FF483" s="45"/>
      <c r="FG483" s="45"/>
      <c r="FH483" s="45"/>
      <c r="FI483" s="45"/>
      <c r="FJ483" s="45"/>
      <c r="FK483" s="45"/>
      <c r="FL483" s="45"/>
      <c r="FM483" s="45"/>
      <c r="FN483" s="45"/>
      <c r="FO483" s="45"/>
      <c r="FP483" s="45"/>
      <c r="FQ483" s="45"/>
      <c r="FR483" s="45"/>
      <c r="FS483" s="45"/>
      <c r="FT483" s="45"/>
      <c r="FU483" s="45"/>
      <c r="FV483" s="45"/>
      <c r="FW483" s="45"/>
      <c r="FX483" s="45"/>
      <c r="FY483" s="45"/>
      <c r="FZ483" s="45"/>
      <c r="GA483" s="45"/>
      <c r="GB483" s="45"/>
      <c r="GC483" s="45"/>
      <c r="GD483" s="45"/>
      <c r="GE483" s="45"/>
      <c r="GF483" s="45"/>
      <c r="GG483" s="45"/>
      <c r="GH483" s="45"/>
      <c r="GI483" s="45"/>
      <c r="GJ483" s="45"/>
      <c r="GK483" s="45"/>
      <c r="GL483" s="45"/>
      <c r="GM483" s="45"/>
      <c r="GN483" s="45"/>
      <c r="GO483" s="45"/>
      <c r="GP483" s="45"/>
      <c r="GQ483" s="45"/>
      <c r="GR483" s="45"/>
      <c r="GS483" s="45"/>
      <c r="GT483" s="45"/>
      <c r="GU483" s="45"/>
      <c r="GV483" s="45"/>
      <c r="GW483" s="45"/>
      <c r="GX483" s="45"/>
      <c r="GY483" s="45"/>
      <c r="GZ483" s="45"/>
      <c r="HA483" s="45"/>
      <c r="HB483" s="45"/>
      <c r="HC483" s="45"/>
      <c r="HD483" s="45"/>
      <c r="HE483" s="45"/>
      <c r="HF483" s="45"/>
      <c r="HG483" s="45"/>
      <c r="HH483" s="45"/>
      <c r="HI483" s="45"/>
      <c r="HJ483" s="45"/>
      <c r="HK483" s="45"/>
      <c r="HL483" s="45"/>
      <c r="HM483" s="45"/>
      <c r="HN483" s="45"/>
      <c r="HO483" s="45"/>
      <c r="HP483" s="45"/>
      <c r="HQ483" s="45"/>
      <c r="HR483" s="45"/>
      <c r="HS483" s="45"/>
      <c r="HT483" s="45"/>
      <c r="HU483" s="45"/>
      <c r="HV483" s="45"/>
      <c r="HW483" s="45"/>
      <c r="HX483" s="45"/>
      <c r="HY483" s="45"/>
    </row>
    <row r="484" spans="1:233" s="46" customFormat="1" ht="15" customHeight="1">
      <c r="A484" s="73" t="s">
        <v>44</v>
      </c>
      <c r="B484" s="26" t="s">
        <v>10</v>
      </c>
      <c r="C484" s="26" t="s">
        <v>13</v>
      </c>
      <c r="D484" s="26" t="s">
        <v>610</v>
      </c>
      <c r="E484" s="26" t="s">
        <v>67</v>
      </c>
      <c r="F484" s="26" t="s">
        <v>44</v>
      </c>
      <c r="G484" s="26" t="s">
        <v>173</v>
      </c>
      <c r="H484" s="26" t="s">
        <v>22</v>
      </c>
      <c r="I484" s="26" t="s">
        <v>641</v>
      </c>
      <c r="J484" s="26" t="s">
        <v>23</v>
      </c>
      <c r="K484" s="27" t="s">
        <v>26</v>
      </c>
      <c r="L484" s="26">
        <v>199</v>
      </c>
      <c r="M484" s="28">
        <v>119</v>
      </c>
      <c r="N484" s="82">
        <v>59.8</v>
      </c>
      <c r="O484" s="28">
        <v>199</v>
      </c>
      <c r="P484" s="28">
        <v>22</v>
      </c>
      <c r="Q484" s="21">
        <v>11.06</v>
      </c>
      <c r="R484" s="31">
        <v>28</v>
      </c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  <c r="BP484" s="45"/>
      <c r="BQ484" s="45"/>
      <c r="BR484" s="45"/>
      <c r="BS484" s="45"/>
      <c r="BT484" s="45"/>
      <c r="BU484" s="45"/>
      <c r="BV484" s="45"/>
      <c r="BW484" s="45"/>
      <c r="BX484" s="45"/>
      <c r="BY484" s="45"/>
      <c r="BZ484" s="45"/>
      <c r="CA484" s="45"/>
      <c r="CB484" s="45"/>
      <c r="CC484" s="45"/>
      <c r="CD484" s="45"/>
      <c r="CE484" s="45"/>
      <c r="CF484" s="45"/>
      <c r="CG484" s="45"/>
      <c r="CH484" s="45"/>
      <c r="CI484" s="45"/>
      <c r="CJ484" s="45"/>
      <c r="CK484" s="45"/>
      <c r="CL484" s="45"/>
      <c r="CM484" s="45"/>
      <c r="CN484" s="45"/>
      <c r="CO484" s="45"/>
      <c r="CP484" s="45"/>
      <c r="CQ484" s="45"/>
      <c r="CR484" s="45"/>
      <c r="CS484" s="45"/>
      <c r="CT484" s="45"/>
      <c r="CU484" s="45"/>
      <c r="CV484" s="45"/>
      <c r="CW484" s="45"/>
      <c r="CX484" s="45"/>
      <c r="CY484" s="45"/>
      <c r="CZ484" s="45"/>
      <c r="DA484" s="45"/>
      <c r="DB484" s="45"/>
      <c r="DC484" s="45"/>
      <c r="DD484" s="45"/>
      <c r="DE484" s="45"/>
      <c r="DF484" s="45"/>
      <c r="DG484" s="45"/>
      <c r="DH484" s="45"/>
      <c r="DI484" s="45"/>
      <c r="DJ484" s="45"/>
      <c r="DK484" s="45"/>
      <c r="DL484" s="45"/>
      <c r="DM484" s="45"/>
      <c r="DN484" s="45"/>
      <c r="DO484" s="45"/>
      <c r="DP484" s="45"/>
      <c r="DQ484" s="45"/>
      <c r="DR484" s="45"/>
      <c r="DS484" s="45"/>
      <c r="DT484" s="45"/>
      <c r="DU484" s="45"/>
      <c r="DV484" s="45"/>
      <c r="DW484" s="45"/>
      <c r="DX484" s="45"/>
      <c r="DY484" s="45"/>
      <c r="DZ484" s="45"/>
      <c r="EA484" s="45"/>
      <c r="EB484" s="45"/>
      <c r="EC484" s="45"/>
      <c r="ED484" s="45"/>
      <c r="EE484" s="45"/>
      <c r="EF484" s="45"/>
      <c r="EG484" s="45"/>
      <c r="EH484" s="45"/>
      <c r="EI484" s="45"/>
      <c r="EJ484" s="45"/>
      <c r="EK484" s="45"/>
      <c r="EL484" s="45"/>
      <c r="EM484" s="45"/>
      <c r="EN484" s="45"/>
      <c r="EO484" s="45"/>
      <c r="EP484" s="45"/>
      <c r="EQ484" s="45"/>
      <c r="ER484" s="45"/>
      <c r="ES484" s="45"/>
      <c r="ET484" s="45"/>
      <c r="EU484" s="45"/>
      <c r="EV484" s="45"/>
      <c r="EW484" s="45"/>
      <c r="EX484" s="45"/>
      <c r="EY484" s="45"/>
      <c r="EZ484" s="45"/>
      <c r="FA484" s="45"/>
      <c r="FB484" s="45"/>
      <c r="FC484" s="45"/>
      <c r="FD484" s="45"/>
      <c r="FE484" s="45"/>
      <c r="FF484" s="45"/>
      <c r="FG484" s="45"/>
      <c r="FH484" s="45"/>
      <c r="FI484" s="45"/>
      <c r="FJ484" s="45"/>
      <c r="FK484" s="45"/>
      <c r="FL484" s="45"/>
      <c r="FM484" s="45"/>
      <c r="FN484" s="45"/>
      <c r="FO484" s="45"/>
      <c r="FP484" s="45"/>
      <c r="FQ484" s="45"/>
      <c r="FR484" s="45"/>
      <c r="FS484" s="45"/>
      <c r="FT484" s="45"/>
      <c r="FU484" s="45"/>
      <c r="FV484" s="45"/>
      <c r="FW484" s="45"/>
      <c r="FX484" s="45"/>
      <c r="FY484" s="45"/>
      <c r="FZ484" s="45"/>
      <c r="GA484" s="45"/>
      <c r="GB484" s="45"/>
      <c r="GC484" s="45"/>
      <c r="GD484" s="45"/>
      <c r="GE484" s="45"/>
      <c r="GF484" s="45"/>
      <c r="GG484" s="45"/>
      <c r="GH484" s="45"/>
      <c r="GI484" s="45"/>
      <c r="GJ484" s="45"/>
      <c r="GK484" s="45"/>
      <c r="GL484" s="45"/>
      <c r="GM484" s="45"/>
      <c r="GN484" s="45"/>
      <c r="GO484" s="45"/>
      <c r="GP484" s="45"/>
      <c r="GQ484" s="45"/>
      <c r="GR484" s="45"/>
      <c r="GS484" s="45"/>
      <c r="GT484" s="45"/>
      <c r="GU484" s="45"/>
      <c r="GV484" s="45"/>
      <c r="GW484" s="45"/>
      <c r="GX484" s="45"/>
      <c r="GY484" s="45"/>
      <c r="GZ484" s="45"/>
      <c r="HA484" s="45"/>
      <c r="HB484" s="45"/>
      <c r="HC484" s="45"/>
      <c r="HD484" s="45"/>
      <c r="HE484" s="45"/>
      <c r="HF484" s="45"/>
      <c r="HG484" s="45"/>
      <c r="HH484" s="45"/>
      <c r="HI484" s="45"/>
      <c r="HJ484" s="45"/>
      <c r="HK484" s="45"/>
      <c r="HL484" s="45"/>
      <c r="HM484" s="45"/>
      <c r="HN484" s="45"/>
      <c r="HO484" s="45"/>
      <c r="HP484" s="45"/>
      <c r="HQ484" s="45"/>
      <c r="HR484" s="45"/>
      <c r="HS484" s="45"/>
      <c r="HT484" s="45"/>
      <c r="HU484" s="45"/>
      <c r="HV484" s="45"/>
      <c r="HW484" s="45"/>
      <c r="HX484" s="45"/>
      <c r="HY484" s="45"/>
    </row>
    <row r="485" spans="1:233" s="46" customFormat="1" ht="15" customHeight="1">
      <c r="A485" s="73" t="s">
        <v>44</v>
      </c>
      <c r="B485" s="26" t="s">
        <v>10</v>
      </c>
      <c r="C485" s="26" t="s">
        <v>13</v>
      </c>
      <c r="D485" s="26" t="s">
        <v>610</v>
      </c>
      <c r="E485" s="26" t="s">
        <v>67</v>
      </c>
      <c r="F485" s="26" t="s">
        <v>44</v>
      </c>
      <c r="G485" s="26" t="s">
        <v>173</v>
      </c>
      <c r="H485" s="26" t="s">
        <v>22</v>
      </c>
      <c r="I485" s="26" t="s">
        <v>641</v>
      </c>
      <c r="J485" s="26" t="s">
        <v>23</v>
      </c>
      <c r="K485" s="27" t="s">
        <v>27</v>
      </c>
      <c r="L485" s="26">
        <v>199</v>
      </c>
      <c r="M485" s="28">
        <v>127</v>
      </c>
      <c r="N485" s="82">
        <v>63.82</v>
      </c>
      <c r="O485" s="28">
        <v>198</v>
      </c>
      <c r="P485" s="28">
        <v>26</v>
      </c>
      <c r="Q485" s="21">
        <v>13.13</v>
      </c>
      <c r="R485" s="31">
        <v>28</v>
      </c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  <c r="BP485" s="45"/>
      <c r="BQ485" s="45"/>
      <c r="BR485" s="45"/>
      <c r="BS485" s="45"/>
      <c r="BT485" s="45"/>
      <c r="BU485" s="45"/>
      <c r="BV485" s="45"/>
      <c r="BW485" s="45"/>
      <c r="BX485" s="45"/>
      <c r="BY485" s="45"/>
      <c r="BZ485" s="45"/>
      <c r="CA485" s="45"/>
      <c r="CB485" s="45"/>
      <c r="CC485" s="45"/>
      <c r="CD485" s="45"/>
      <c r="CE485" s="45"/>
      <c r="CF485" s="45"/>
      <c r="CG485" s="45"/>
      <c r="CH485" s="45"/>
      <c r="CI485" s="45"/>
      <c r="CJ485" s="45"/>
      <c r="CK485" s="45"/>
      <c r="CL485" s="45"/>
      <c r="CM485" s="45"/>
      <c r="CN485" s="45"/>
      <c r="CO485" s="45"/>
      <c r="CP485" s="45"/>
      <c r="CQ485" s="45"/>
      <c r="CR485" s="45"/>
      <c r="CS485" s="45"/>
      <c r="CT485" s="45"/>
      <c r="CU485" s="45"/>
      <c r="CV485" s="45"/>
      <c r="CW485" s="45"/>
      <c r="CX485" s="45"/>
      <c r="CY485" s="45"/>
      <c r="CZ485" s="45"/>
      <c r="DA485" s="45"/>
      <c r="DB485" s="45"/>
      <c r="DC485" s="45"/>
      <c r="DD485" s="45"/>
      <c r="DE485" s="45"/>
      <c r="DF485" s="45"/>
      <c r="DG485" s="45"/>
      <c r="DH485" s="45"/>
      <c r="DI485" s="45"/>
      <c r="DJ485" s="45"/>
      <c r="DK485" s="45"/>
      <c r="DL485" s="45"/>
      <c r="DM485" s="45"/>
      <c r="DN485" s="45"/>
      <c r="DO485" s="45"/>
      <c r="DP485" s="45"/>
      <c r="DQ485" s="45"/>
      <c r="DR485" s="45"/>
      <c r="DS485" s="45"/>
      <c r="DT485" s="45"/>
      <c r="DU485" s="45"/>
      <c r="DV485" s="45"/>
      <c r="DW485" s="45"/>
      <c r="DX485" s="45"/>
      <c r="DY485" s="45"/>
      <c r="DZ485" s="45"/>
      <c r="EA485" s="45"/>
      <c r="EB485" s="45"/>
      <c r="EC485" s="45"/>
      <c r="ED485" s="45"/>
      <c r="EE485" s="45"/>
      <c r="EF485" s="45"/>
      <c r="EG485" s="45"/>
      <c r="EH485" s="45"/>
      <c r="EI485" s="45"/>
      <c r="EJ485" s="45"/>
      <c r="EK485" s="45"/>
      <c r="EL485" s="45"/>
      <c r="EM485" s="45"/>
      <c r="EN485" s="45"/>
      <c r="EO485" s="45"/>
      <c r="EP485" s="45"/>
      <c r="EQ485" s="45"/>
      <c r="ER485" s="45"/>
      <c r="ES485" s="45"/>
      <c r="ET485" s="45"/>
      <c r="EU485" s="45"/>
      <c r="EV485" s="45"/>
      <c r="EW485" s="45"/>
      <c r="EX485" s="45"/>
      <c r="EY485" s="45"/>
      <c r="EZ485" s="45"/>
      <c r="FA485" s="45"/>
      <c r="FB485" s="45"/>
      <c r="FC485" s="45"/>
      <c r="FD485" s="45"/>
      <c r="FE485" s="45"/>
      <c r="FF485" s="45"/>
      <c r="FG485" s="45"/>
      <c r="FH485" s="45"/>
      <c r="FI485" s="45"/>
      <c r="FJ485" s="45"/>
      <c r="FK485" s="45"/>
      <c r="FL485" s="45"/>
      <c r="FM485" s="45"/>
      <c r="FN485" s="45"/>
      <c r="FO485" s="45"/>
      <c r="FP485" s="45"/>
      <c r="FQ485" s="45"/>
      <c r="FR485" s="45"/>
      <c r="FS485" s="45"/>
      <c r="FT485" s="45"/>
      <c r="FU485" s="45"/>
      <c r="FV485" s="45"/>
      <c r="FW485" s="45"/>
      <c r="FX485" s="45"/>
      <c r="FY485" s="45"/>
      <c r="FZ485" s="45"/>
      <c r="GA485" s="45"/>
      <c r="GB485" s="45"/>
      <c r="GC485" s="45"/>
      <c r="GD485" s="45"/>
      <c r="GE485" s="45"/>
      <c r="GF485" s="45"/>
      <c r="GG485" s="45"/>
      <c r="GH485" s="45"/>
      <c r="GI485" s="45"/>
      <c r="GJ485" s="45"/>
      <c r="GK485" s="45"/>
      <c r="GL485" s="45"/>
      <c r="GM485" s="45"/>
      <c r="GN485" s="45"/>
      <c r="GO485" s="45"/>
      <c r="GP485" s="45"/>
      <c r="GQ485" s="45"/>
      <c r="GR485" s="45"/>
      <c r="GS485" s="45"/>
      <c r="GT485" s="45"/>
      <c r="GU485" s="45"/>
      <c r="GV485" s="45"/>
      <c r="GW485" s="45"/>
      <c r="GX485" s="45"/>
      <c r="GY485" s="45"/>
      <c r="GZ485" s="45"/>
      <c r="HA485" s="45"/>
      <c r="HB485" s="45"/>
      <c r="HC485" s="45"/>
      <c r="HD485" s="45"/>
      <c r="HE485" s="45"/>
      <c r="HF485" s="45"/>
      <c r="HG485" s="45"/>
      <c r="HH485" s="45"/>
      <c r="HI485" s="45"/>
      <c r="HJ485" s="45"/>
      <c r="HK485" s="45"/>
      <c r="HL485" s="45"/>
      <c r="HM485" s="45"/>
      <c r="HN485" s="45"/>
      <c r="HO485" s="45"/>
      <c r="HP485" s="45"/>
      <c r="HQ485" s="45"/>
      <c r="HR485" s="45"/>
      <c r="HS485" s="45"/>
      <c r="HT485" s="45"/>
      <c r="HU485" s="45"/>
      <c r="HV485" s="45"/>
      <c r="HW485" s="45"/>
      <c r="HX485" s="45"/>
      <c r="HY485" s="45"/>
    </row>
    <row r="486" spans="1:233" s="46" customFormat="1" ht="15" customHeight="1">
      <c r="A486" s="73" t="s">
        <v>44</v>
      </c>
      <c r="B486" s="26" t="s">
        <v>10</v>
      </c>
      <c r="C486" s="26" t="s">
        <v>13</v>
      </c>
      <c r="D486" s="26" t="s">
        <v>610</v>
      </c>
      <c r="E486" s="26" t="s">
        <v>67</v>
      </c>
      <c r="F486" s="26" t="s">
        <v>44</v>
      </c>
      <c r="G486" s="26" t="s">
        <v>173</v>
      </c>
      <c r="H486" s="26" t="s">
        <v>22</v>
      </c>
      <c r="I486" s="26" t="s">
        <v>641</v>
      </c>
      <c r="J486" s="26" t="s">
        <v>23</v>
      </c>
      <c r="K486" s="27" t="s">
        <v>28</v>
      </c>
      <c r="L486" s="26">
        <v>234</v>
      </c>
      <c r="M486" s="28">
        <v>159</v>
      </c>
      <c r="N486" s="82">
        <v>67.95</v>
      </c>
      <c r="O486" s="28">
        <v>233</v>
      </c>
      <c r="P486" s="28">
        <v>48</v>
      </c>
      <c r="Q486" s="21">
        <v>20.6</v>
      </c>
      <c r="R486" s="31">
        <v>28</v>
      </c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  <c r="BP486" s="45"/>
      <c r="BQ486" s="45"/>
      <c r="BR486" s="45"/>
      <c r="BS486" s="45"/>
      <c r="BT486" s="45"/>
      <c r="BU486" s="45"/>
      <c r="BV486" s="45"/>
      <c r="BW486" s="45"/>
      <c r="BX486" s="45"/>
      <c r="BY486" s="45"/>
      <c r="BZ486" s="45"/>
      <c r="CA486" s="45"/>
      <c r="CB486" s="45"/>
      <c r="CC486" s="45"/>
      <c r="CD486" s="45"/>
      <c r="CE486" s="45"/>
      <c r="CF486" s="45"/>
      <c r="CG486" s="45"/>
      <c r="CH486" s="45"/>
      <c r="CI486" s="45"/>
      <c r="CJ486" s="45"/>
      <c r="CK486" s="45"/>
      <c r="CL486" s="45"/>
      <c r="CM486" s="45"/>
      <c r="CN486" s="45"/>
      <c r="CO486" s="45"/>
      <c r="CP486" s="45"/>
      <c r="CQ486" s="45"/>
      <c r="CR486" s="45"/>
      <c r="CS486" s="45"/>
      <c r="CT486" s="45"/>
      <c r="CU486" s="45"/>
      <c r="CV486" s="45"/>
      <c r="CW486" s="45"/>
      <c r="CX486" s="45"/>
      <c r="CY486" s="45"/>
      <c r="CZ486" s="45"/>
      <c r="DA486" s="45"/>
      <c r="DB486" s="45"/>
      <c r="DC486" s="45"/>
      <c r="DD486" s="45"/>
      <c r="DE486" s="45"/>
      <c r="DF486" s="45"/>
      <c r="DG486" s="45"/>
      <c r="DH486" s="45"/>
      <c r="DI486" s="45"/>
      <c r="DJ486" s="45"/>
      <c r="DK486" s="45"/>
      <c r="DL486" s="45"/>
      <c r="DM486" s="45"/>
      <c r="DN486" s="45"/>
      <c r="DO486" s="45"/>
      <c r="DP486" s="45"/>
      <c r="DQ486" s="45"/>
      <c r="DR486" s="45"/>
      <c r="DS486" s="45"/>
      <c r="DT486" s="45"/>
      <c r="DU486" s="45"/>
      <c r="DV486" s="45"/>
      <c r="DW486" s="45"/>
      <c r="DX486" s="45"/>
      <c r="DY486" s="45"/>
      <c r="DZ486" s="45"/>
      <c r="EA486" s="45"/>
      <c r="EB486" s="45"/>
      <c r="EC486" s="45"/>
      <c r="ED486" s="45"/>
      <c r="EE486" s="45"/>
      <c r="EF486" s="45"/>
      <c r="EG486" s="45"/>
      <c r="EH486" s="45"/>
      <c r="EI486" s="45"/>
      <c r="EJ486" s="45"/>
      <c r="EK486" s="45"/>
      <c r="EL486" s="45"/>
      <c r="EM486" s="45"/>
      <c r="EN486" s="45"/>
      <c r="EO486" s="45"/>
      <c r="EP486" s="45"/>
      <c r="EQ486" s="45"/>
      <c r="ER486" s="45"/>
      <c r="ES486" s="45"/>
      <c r="ET486" s="45"/>
      <c r="EU486" s="45"/>
      <c r="EV486" s="45"/>
      <c r="EW486" s="45"/>
      <c r="EX486" s="45"/>
      <c r="EY486" s="45"/>
      <c r="EZ486" s="45"/>
      <c r="FA486" s="45"/>
      <c r="FB486" s="45"/>
      <c r="FC486" s="45"/>
      <c r="FD486" s="45"/>
      <c r="FE486" s="45"/>
      <c r="FF486" s="45"/>
      <c r="FG486" s="45"/>
      <c r="FH486" s="45"/>
      <c r="FI486" s="45"/>
      <c r="FJ486" s="45"/>
      <c r="FK486" s="45"/>
      <c r="FL486" s="45"/>
      <c r="FM486" s="45"/>
      <c r="FN486" s="45"/>
      <c r="FO486" s="45"/>
      <c r="FP486" s="45"/>
      <c r="FQ486" s="45"/>
      <c r="FR486" s="45"/>
      <c r="FS486" s="45"/>
      <c r="FT486" s="45"/>
      <c r="FU486" s="45"/>
      <c r="FV486" s="45"/>
      <c r="FW486" s="45"/>
      <c r="FX486" s="45"/>
      <c r="FY486" s="45"/>
      <c r="FZ486" s="45"/>
      <c r="GA486" s="45"/>
      <c r="GB486" s="45"/>
      <c r="GC486" s="45"/>
      <c r="GD486" s="45"/>
      <c r="GE486" s="45"/>
      <c r="GF486" s="45"/>
      <c r="GG486" s="45"/>
      <c r="GH486" s="45"/>
      <c r="GI486" s="45"/>
      <c r="GJ486" s="45"/>
      <c r="GK486" s="45"/>
      <c r="GL486" s="45"/>
      <c r="GM486" s="45"/>
      <c r="GN486" s="45"/>
      <c r="GO486" s="45"/>
      <c r="GP486" s="45"/>
      <c r="GQ486" s="45"/>
      <c r="GR486" s="45"/>
      <c r="GS486" s="45"/>
      <c r="GT486" s="45"/>
      <c r="GU486" s="45"/>
      <c r="GV486" s="45"/>
      <c r="GW486" s="45"/>
      <c r="GX486" s="45"/>
      <c r="GY486" s="45"/>
      <c r="GZ486" s="45"/>
      <c r="HA486" s="45"/>
      <c r="HB486" s="45"/>
      <c r="HC486" s="45"/>
      <c r="HD486" s="45"/>
      <c r="HE486" s="45"/>
      <c r="HF486" s="45"/>
      <c r="HG486" s="45"/>
      <c r="HH486" s="45"/>
      <c r="HI486" s="45"/>
      <c r="HJ486" s="45"/>
      <c r="HK486" s="45"/>
      <c r="HL486" s="45"/>
      <c r="HM486" s="45"/>
      <c r="HN486" s="45"/>
      <c r="HO486" s="45"/>
      <c r="HP486" s="45"/>
      <c r="HQ486" s="45"/>
      <c r="HR486" s="45"/>
      <c r="HS486" s="45"/>
      <c r="HT486" s="45"/>
      <c r="HU486" s="45"/>
      <c r="HV486" s="45"/>
      <c r="HW486" s="45"/>
      <c r="HX486" s="45"/>
      <c r="HY486" s="45"/>
    </row>
    <row r="487" spans="1:233" s="46" customFormat="1" ht="15" customHeight="1">
      <c r="A487" s="73" t="s">
        <v>44</v>
      </c>
      <c r="B487" s="26" t="s">
        <v>10</v>
      </c>
      <c r="C487" s="26" t="s">
        <v>13</v>
      </c>
      <c r="D487" s="26" t="s">
        <v>610</v>
      </c>
      <c r="E487" s="26" t="s">
        <v>67</v>
      </c>
      <c r="F487" s="26" t="s">
        <v>44</v>
      </c>
      <c r="G487" s="26" t="s">
        <v>173</v>
      </c>
      <c r="H487" s="26" t="s">
        <v>22</v>
      </c>
      <c r="I487" s="26" t="s">
        <v>641</v>
      </c>
      <c r="J487" s="26" t="s">
        <v>23</v>
      </c>
      <c r="K487" s="27" t="s">
        <v>72</v>
      </c>
      <c r="L487" s="26">
        <v>201</v>
      </c>
      <c r="M487" s="28">
        <v>141</v>
      </c>
      <c r="N487" s="82">
        <v>70.150000000000006</v>
      </c>
      <c r="O487" s="28">
        <v>201</v>
      </c>
      <c r="P487" s="28">
        <v>50</v>
      </c>
      <c r="Q487" s="21">
        <v>24.88</v>
      </c>
      <c r="R487" s="31">
        <v>28</v>
      </c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  <c r="BP487" s="45"/>
      <c r="BQ487" s="45"/>
      <c r="BR487" s="45"/>
      <c r="BS487" s="45"/>
      <c r="BT487" s="45"/>
      <c r="BU487" s="45"/>
      <c r="BV487" s="45"/>
      <c r="BW487" s="45"/>
      <c r="BX487" s="45"/>
      <c r="BY487" s="45"/>
      <c r="BZ487" s="45"/>
      <c r="CA487" s="45"/>
      <c r="CB487" s="45"/>
      <c r="CC487" s="45"/>
      <c r="CD487" s="45"/>
      <c r="CE487" s="45"/>
      <c r="CF487" s="45"/>
      <c r="CG487" s="45"/>
      <c r="CH487" s="45"/>
      <c r="CI487" s="45"/>
      <c r="CJ487" s="45"/>
      <c r="CK487" s="45"/>
      <c r="CL487" s="45"/>
      <c r="CM487" s="45"/>
      <c r="CN487" s="45"/>
      <c r="CO487" s="45"/>
      <c r="CP487" s="45"/>
      <c r="CQ487" s="45"/>
      <c r="CR487" s="45"/>
      <c r="CS487" s="45"/>
      <c r="CT487" s="45"/>
      <c r="CU487" s="45"/>
      <c r="CV487" s="45"/>
      <c r="CW487" s="45"/>
      <c r="CX487" s="45"/>
      <c r="CY487" s="45"/>
      <c r="CZ487" s="45"/>
      <c r="DA487" s="45"/>
      <c r="DB487" s="45"/>
      <c r="DC487" s="45"/>
      <c r="DD487" s="45"/>
      <c r="DE487" s="45"/>
      <c r="DF487" s="45"/>
      <c r="DG487" s="45"/>
      <c r="DH487" s="45"/>
      <c r="DI487" s="45"/>
      <c r="DJ487" s="45"/>
      <c r="DK487" s="45"/>
      <c r="DL487" s="45"/>
      <c r="DM487" s="45"/>
      <c r="DN487" s="45"/>
      <c r="DO487" s="45"/>
      <c r="DP487" s="45"/>
      <c r="DQ487" s="45"/>
      <c r="DR487" s="45"/>
      <c r="DS487" s="45"/>
      <c r="DT487" s="45"/>
      <c r="DU487" s="45"/>
      <c r="DV487" s="45"/>
      <c r="DW487" s="45"/>
      <c r="DX487" s="45"/>
      <c r="DY487" s="45"/>
      <c r="DZ487" s="45"/>
      <c r="EA487" s="45"/>
      <c r="EB487" s="45"/>
      <c r="EC487" s="45"/>
      <c r="ED487" s="45"/>
      <c r="EE487" s="45"/>
      <c r="EF487" s="45"/>
      <c r="EG487" s="45"/>
      <c r="EH487" s="45"/>
      <c r="EI487" s="45"/>
      <c r="EJ487" s="45"/>
      <c r="EK487" s="45"/>
      <c r="EL487" s="45"/>
      <c r="EM487" s="45"/>
      <c r="EN487" s="45"/>
      <c r="EO487" s="45"/>
      <c r="EP487" s="45"/>
      <c r="EQ487" s="45"/>
      <c r="ER487" s="45"/>
      <c r="ES487" s="45"/>
      <c r="ET487" s="45"/>
      <c r="EU487" s="45"/>
      <c r="EV487" s="45"/>
      <c r="EW487" s="45"/>
      <c r="EX487" s="45"/>
      <c r="EY487" s="45"/>
      <c r="EZ487" s="45"/>
      <c r="FA487" s="45"/>
      <c r="FB487" s="45"/>
      <c r="FC487" s="45"/>
      <c r="FD487" s="45"/>
      <c r="FE487" s="45"/>
      <c r="FF487" s="45"/>
      <c r="FG487" s="45"/>
      <c r="FH487" s="45"/>
      <c r="FI487" s="45"/>
      <c r="FJ487" s="45"/>
      <c r="FK487" s="45"/>
      <c r="FL487" s="45"/>
      <c r="FM487" s="45"/>
      <c r="FN487" s="45"/>
      <c r="FO487" s="45"/>
      <c r="FP487" s="45"/>
      <c r="FQ487" s="45"/>
      <c r="FR487" s="45"/>
      <c r="FS487" s="45"/>
      <c r="FT487" s="45"/>
      <c r="FU487" s="45"/>
      <c r="FV487" s="45"/>
      <c r="FW487" s="45"/>
      <c r="FX487" s="45"/>
      <c r="FY487" s="45"/>
      <c r="FZ487" s="45"/>
      <c r="GA487" s="45"/>
      <c r="GB487" s="45"/>
      <c r="GC487" s="45"/>
      <c r="GD487" s="45"/>
      <c r="GE487" s="45"/>
      <c r="GF487" s="45"/>
      <c r="GG487" s="45"/>
      <c r="GH487" s="45"/>
      <c r="GI487" s="45"/>
      <c r="GJ487" s="45"/>
      <c r="GK487" s="45"/>
      <c r="GL487" s="45"/>
      <c r="GM487" s="45"/>
      <c r="GN487" s="45"/>
      <c r="GO487" s="45"/>
      <c r="GP487" s="45"/>
      <c r="GQ487" s="45"/>
      <c r="GR487" s="45"/>
      <c r="GS487" s="45"/>
      <c r="GT487" s="45"/>
      <c r="GU487" s="45"/>
      <c r="GV487" s="45"/>
      <c r="GW487" s="45"/>
      <c r="GX487" s="45"/>
      <c r="GY487" s="45"/>
      <c r="GZ487" s="45"/>
      <c r="HA487" s="45"/>
      <c r="HB487" s="45"/>
      <c r="HC487" s="45"/>
      <c r="HD487" s="45"/>
      <c r="HE487" s="45"/>
      <c r="HF487" s="45"/>
      <c r="HG487" s="45"/>
      <c r="HH487" s="45"/>
      <c r="HI487" s="45"/>
      <c r="HJ487" s="45"/>
      <c r="HK487" s="45"/>
      <c r="HL487" s="45"/>
      <c r="HM487" s="45"/>
      <c r="HN487" s="45"/>
      <c r="HO487" s="45"/>
      <c r="HP487" s="45"/>
      <c r="HQ487" s="45"/>
      <c r="HR487" s="45"/>
      <c r="HS487" s="45"/>
      <c r="HT487" s="45"/>
      <c r="HU487" s="45"/>
      <c r="HV487" s="45"/>
      <c r="HW487" s="45"/>
      <c r="HX487" s="45"/>
      <c r="HY487" s="45"/>
    </row>
    <row r="488" spans="1:233" s="46" customFormat="1" ht="15" customHeight="1">
      <c r="A488" s="73" t="s">
        <v>44</v>
      </c>
      <c r="B488" s="26" t="s">
        <v>10</v>
      </c>
      <c r="C488" s="26" t="s">
        <v>13</v>
      </c>
      <c r="D488" s="26" t="s">
        <v>610</v>
      </c>
      <c r="E488" s="26" t="s">
        <v>67</v>
      </c>
      <c r="F488" s="26" t="s">
        <v>44</v>
      </c>
      <c r="G488" s="26" t="s">
        <v>173</v>
      </c>
      <c r="H488" s="26" t="s">
        <v>22</v>
      </c>
      <c r="I488" s="26" t="s">
        <v>641</v>
      </c>
      <c r="J488" s="26" t="s">
        <v>23</v>
      </c>
      <c r="K488" s="27" t="s">
        <v>73</v>
      </c>
      <c r="L488" s="26">
        <v>207</v>
      </c>
      <c r="M488" s="28">
        <v>159</v>
      </c>
      <c r="N488" s="82">
        <v>76.81</v>
      </c>
      <c r="O488" s="28">
        <v>205</v>
      </c>
      <c r="P488" s="28">
        <v>42</v>
      </c>
      <c r="Q488" s="21">
        <v>20.49</v>
      </c>
      <c r="R488" s="31">
        <v>28</v>
      </c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  <c r="BP488" s="45"/>
      <c r="BQ488" s="45"/>
      <c r="BR488" s="45"/>
      <c r="BS488" s="45"/>
      <c r="BT488" s="45"/>
      <c r="BU488" s="45"/>
      <c r="BV488" s="45"/>
      <c r="BW488" s="45"/>
      <c r="BX488" s="45"/>
      <c r="BY488" s="45"/>
      <c r="BZ488" s="45"/>
      <c r="CA488" s="45"/>
      <c r="CB488" s="45"/>
      <c r="CC488" s="45"/>
      <c r="CD488" s="45"/>
      <c r="CE488" s="45"/>
      <c r="CF488" s="45"/>
      <c r="CG488" s="45"/>
      <c r="CH488" s="45"/>
      <c r="CI488" s="45"/>
      <c r="CJ488" s="45"/>
      <c r="CK488" s="45"/>
      <c r="CL488" s="45"/>
      <c r="CM488" s="45"/>
      <c r="CN488" s="45"/>
      <c r="CO488" s="45"/>
      <c r="CP488" s="45"/>
      <c r="CQ488" s="45"/>
      <c r="CR488" s="45"/>
      <c r="CS488" s="45"/>
      <c r="CT488" s="45"/>
      <c r="CU488" s="45"/>
      <c r="CV488" s="45"/>
      <c r="CW488" s="45"/>
      <c r="CX488" s="45"/>
      <c r="CY488" s="45"/>
      <c r="CZ488" s="45"/>
      <c r="DA488" s="45"/>
      <c r="DB488" s="45"/>
      <c r="DC488" s="45"/>
      <c r="DD488" s="45"/>
      <c r="DE488" s="45"/>
      <c r="DF488" s="45"/>
      <c r="DG488" s="45"/>
      <c r="DH488" s="45"/>
      <c r="DI488" s="45"/>
      <c r="DJ488" s="45"/>
      <c r="DK488" s="45"/>
      <c r="DL488" s="45"/>
      <c r="DM488" s="45"/>
      <c r="DN488" s="45"/>
      <c r="DO488" s="45"/>
      <c r="DP488" s="45"/>
      <c r="DQ488" s="45"/>
      <c r="DR488" s="45"/>
      <c r="DS488" s="45"/>
      <c r="DT488" s="45"/>
      <c r="DU488" s="45"/>
      <c r="DV488" s="45"/>
      <c r="DW488" s="45"/>
      <c r="DX488" s="45"/>
      <c r="DY488" s="45"/>
      <c r="DZ488" s="45"/>
      <c r="EA488" s="45"/>
      <c r="EB488" s="45"/>
      <c r="EC488" s="45"/>
      <c r="ED488" s="45"/>
      <c r="EE488" s="45"/>
      <c r="EF488" s="45"/>
      <c r="EG488" s="45"/>
      <c r="EH488" s="45"/>
      <c r="EI488" s="45"/>
      <c r="EJ488" s="45"/>
      <c r="EK488" s="45"/>
      <c r="EL488" s="45"/>
      <c r="EM488" s="45"/>
      <c r="EN488" s="45"/>
      <c r="EO488" s="45"/>
      <c r="EP488" s="45"/>
      <c r="EQ488" s="45"/>
      <c r="ER488" s="45"/>
      <c r="ES488" s="45"/>
      <c r="ET488" s="45"/>
      <c r="EU488" s="45"/>
      <c r="EV488" s="45"/>
      <c r="EW488" s="45"/>
      <c r="EX488" s="45"/>
      <c r="EY488" s="45"/>
      <c r="EZ488" s="45"/>
      <c r="FA488" s="45"/>
      <c r="FB488" s="45"/>
      <c r="FC488" s="45"/>
      <c r="FD488" s="45"/>
      <c r="FE488" s="45"/>
      <c r="FF488" s="45"/>
      <c r="FG488" s="45"/>
      <c r="FH488" s="45"/>
      <c r="FI488" s="45"/>
      <c r="FJ488" s="45"/>
      <c r="FK488" s="45"/>
      <c r="FL488" s="45"/>
      <c r="FM488" s="45"/>
      <c r="FN488" s="45"/>
      <c r="FO488" s="45"/>
      <c r="FP488" s="45"/>
      <c r="FQ488" s="45"/>
      <c r="FR488" s="45"/>
      <c r="FS488" s="45"/>
      <c r="FT488" s="45"/>
      <c r="FU488" s="45"/>
      <c r="FV488" s="45"/>
      <c r="FW488" s="45"/>
      <c r="FX488" s="45"/>
      <c r="FY488" s="45"/>
      <c r="FZ488" s="45"/>
      <c r="GA488" s="45"/>
      <c r="GB488" s="45"/>
      <c r="GC488" s="45"/>
      <c r="GD488" s="45"/>
      <c r="GE488" s="45"/>
      <c r="GF488" s="45"/>
      <c r="GG488" s="45"/>
      <c r="GH488" s="45"/>
      <c r="GI488" s="45"/>
      <c r="GJ488" s="45"/>
      <c r="GK488" s="45"/>
      <c r="GL488" s="45"/>
      <c r="GM488" s="45"/>
      <c r="GN488" s="45"/>
      <c r="GO488" s="45"/>
      <c r="GP488" s="45"/>
      <c r="GQ488" s="45"/>
      <c r="GR488" s="45"/>
      <c r="GS488" s="45"/>
      <c r="GT488" s="45"/>
      <c r="GU488" s="45"/>
      <c r="GV488" s="45"/>
      <c r="GW488" s="45"/>
      <c r="GX488" s="45"/>
      <c r="GY488" s="45"/>
      <c r="GZ488" s="45"/>
      <c r="HA488" s="45"/>
      <c r="HB488" s="45"/>
      <c r="HC488" s="45"/>
      <c r="HD488" s="45"/>
      <c r="HE488" s="45"/>
      <c r="HF488" s="45"/>
      <c r="HG488" s="45"/>
      <c r="HH488" s="45"/>
      <c r="HI488" s="45"/>
      <c r="HJ488" s="45"/>
      <c r="HK488" s="45"/>
      <c r="HL488" s="45"/>
      <c r="HM488" s="45"/>
      <c r="HN488" s="45"/>
      <c r="HO488" s="45"/>
      <c r="HP488" s="45"/>
      <c r="HQ488" s="45"/>
      <c r="HR488" s="45"/>
      <c r="HS488" s="45"/>
      <c r="HT488" s="45"/>
      <c r="HU488" s="45"/>
      <c r="HV488" s="45"/>
      <c r="HW488" s="45"/>
      <c r="HX488" s="45"/>
      <c r="HY488" s="45"/>
    </row>
    <row r="489" spans="1:233" s="46" customFormat="1" ht="15" customHeight="1">
      <c r="A489" s="73" t="s">
        <v>44</v>
      </c>
      <c r="B489" s="26" t="s">
        <v>10</v>
      </c>
      <c r="C489" s="26" t="s">
        <v>13</v>
      </c>
      <c r="D489" s="26" t="s">
        <v>610</v>
      </c>
      <c r="E489" s="26" t="s">
        <v>67</v>
      </c>
      <c r="F489" s="26" t="s">
        <v>44</v>
      </c>
      <c r="G489" s="26" t="s">
        <v>173</v>
      </c>
      <c r="H489" s="26" t="s">
        <v>22</v>
      </c>
      <c r="I489" s="26" t="s">
        <v>641</v>
      </c>
      <c r="J489" s="26" t="s">
        <v>11</v>
      </c>
      <c r="K489" s="27" t="s">
        <v>142</v>
      </c>
      <c r="L489" s="26">
        <f>SUM(L490:L496)</f>
        <v>1616</v>
      </c>
      <c r="M489" s="26">
        <f t="shared" ref="M489:P489" si="59">SUM(M490:M496)</f>
        <v>1052</v>
      </c>
      <c r="N489" s="82">
        <f>M489*100/L489</f>
        <v>65.099009900990097</v>
      </c>
      <c r="O489" s="26">
        <f t="shared" si="59"/>
        <v>1425</v>
      </c>
      <c r="P489" s="26">
        <f t="shared" si="59"/>
        <v>404</v>
      </c>
      <c r="Q489" s="82">
        <f>P489*100/O489</f>
        <v>28.350877192982455</v>
      </c>
      <c r="R489" s="31">
        <v>28</v>
      </c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  <c r="BP489" s="45"/>
      <c r="BQ489" s="45"/>
      <c r="BR489" s="45"/>
      <c r="BS489" s="45"/>
      <c r="BT489" s="45"/>
      <c r="BU489" s="45"/>
      <c r="BV489" s="45"/>
      <c r="BW489" s="45"/>
      <c r="BX489" s="45"/>
      <c r="BY489" s="45"/>
      <c r="BZ489" s="45"/>
      <c r="CA489" s="45"/>
      <c r="CB489" s="45"/>
      <c r="CC489" s="45"/>
      <c r="CD489" s="45"/>
      <c r="CE489" s="45"/>
      <c r="CF489" s="45"/>
      <c r="CG489" s="45"/>
      <c r="CH489" s="45"/>
      <c r="CI489" s="45"/>
      <c r="CJ489" s="45"/>
      <c r="CK489" s="45"/>
      <c r="CL489" s="45"/>
      <c r="CM489" s="45"/>
      <c r="CN489" s="45"/>
      <c r="CO489" s="45"/>
      <c r="CP489" s="45"/>
      <c r="CQ489" s="45"/>
      <c r="CR489" s="45"/>
      <c r="CS489" s="45"/>
      <c r="CT489" s="45"/>
      <c r="CU489" s="45"/>
      <c r="CV489" s="45"/>
      <c r="CW489" s="45"/>
      <c r="CX489" s="45"/>
      <c r="CY489" s="45"/>
      <c r="CZ489" s="45"/>
      <c r="DA489" s="45"/>
      <c r="DB489" s="45"/>
      <c r="DC489" s="45"/>
      <c r="DD489" s="45"/>
      <c r="DE489" s="45"/>
      <c r="DF489" s="45"/>
      <c r="DG489" s="45"/>
      <c r="DH489" s="45"/>
      <c r="DI489" s="45"/>
      <c r="DJ489" s="45"/>
      <c r="DK489" s="45"/>
      <c r="DL489" s="45"/>
      <c r="DM489" s="45"/>
      <c r="DN489" s="45"/>
      <c r="DO489" s="45"/>
      <c r="DP489" s="45"/>
      <c r="DQ489" s="45"/>
      <c r="DR489" s="45"/>
      <c r="DS489" s="45"/>
      <c r="DT489" s="45"/>
      <c r="DU489" s="45"/>
      <c r="DV489" s="45"/>
      <c r="DW489" s="45"/>
      <c r="DX489" s="45"/>
      <c r="DY489" s="45"/>
      <c r="DZ489" s="45"/>
      <c r="EA489" s="45"/>
      <c r="EB489" s="45"/>
      <c r="EC489" s="45"/>
      <c r="ED489" s="45"/>
      <c r="EE489" s="45"/>
      <c r="EF489" s="45"/>
      <c r="EG489" s="45"/>
      <c r="EH489" s="45"/>
      <c r="EI489" s="45"/>
      <c r="EJ489" s="45"/>
      <c r="EK489" s="45"/>
      <c r="EL489" s="45"/>
      <c r="EM489" s="45"/>
      <c r="EN489" s="45"/>
      <c r="EO489" s="45"/>
      <c r="EP489" s="45"/>
      <c r="EQ489" s="45"/>
      <c r="ER489" s="45"/>
      <c r="ES489" s="45"/>
      <c r="ET489" s="45"/>
      <c r="EU489" s="45"/>
      <c r="EV489" s="45"/>
      <c r="EW489" s="45"/>
      <c r="EX489" s="45"/>
      <c r="EY489" s="45"/>
      <c r="EZ489" s="45"/>
      <c r="FA489" s="45"/>
      <c r="FB489" s="45"/>
      <c r="FC489" s="45"/>
      <c r="FD489" s="45"/>
      <c r="FE489" s="45"/>
      <c r="FF489" s="45"/>
      <c r="FG489" s="45"/>
      <c r="FH489" s="45"/>
      <c r="FI489" s="45"/>
      <c r="FJ489" s="45"/>
      <c r="FK489" s="45"/>
      <c r="FL489" s="45"/>
      <c r="FM489" s="45"/>
      <c r="FN489" s="45"/>
      <c r="FO489" s="45"/>
      <c r="FP489" s="45"/>
      <c r="FQ489" s="45"/>
      <c r="FR489" s="45"/>
      <c r="FS489" s="45"/>
      <c r="FT489" s="45"/>
      <c r="FU489" s="45"/>
      <c r="FV489" s="45"/>
      <c r="FW489" s="45"/>
      <c r="FX489" s="45"/>
      <c r="FY489" s="45"/>
      <c r="FZ489" s="45"/>
      <c r="GA489" s="45"/>
      <c r="GB489" s="45"/>
      <c r="GC489" s="45"/>
      <c r="GD489" s="45"/>
      <c r="GE489" s="45"/>
      <c r="GF489" s="45"/>
      <c r="GG489" s="45"/>
      <c r="GH489" s="45"/>
      <c r="GI489" s="45"/>
      <c r="GJ489" s="45"/>
      <c r="GK489" s="45"/>
      <c r="GL489" s="45"/>
      <c r="GM489" s="45"/>
      <c r="GN489" s="45"/>
      <c r="GO489" s="45"/>
      <c r="GP489" s="45"/>
      <c r="GQ489" s="45"/>
      <c r="GR489" s="45"/>
      <c r="GS489" s="45"/>
      <c r="GT489" s="45"/>
      <c r="GU489" s="45"/>
      <c r="GV489" s="45"/>
      <c r="GW489" s="45"/>
      <c r="GX489" s="45"/>
      <c r="GY489" s="45"/>
      <c r="GZ489" s="45"/>
      <c r="HA489" s="45"/>
      <c r="HB489" s="45"/>
      <c r="HC489" s="45"/>
      <c r="HD489" s="45"/>
      <c r="HE489" s="45"/>
      <c r="HF489" s="45"/>
      <c r="HG489" s="45"/>
      <c r="HH489" s="45"/>
      <c r="HI489" s="45"/>
      <c r="HJ489" s="45"/>
      <c r="HK489" s="45"/>
      <c r="HL489" s="45"/>
      <c r="HM489" s="45"/>
      <c r="HN489" s="45"/>
      <c r="HO489" s="45"/>
      <c r="HP489" s="45"/>
      <c r="HQ489" s="45"/>
      <c r="HR489" s="45"/>
      <c r="HS489" s="45"/>
      <c r="HT489" s="45"/>
      <c r="HU489" s="45"/>
      <c r="HV489" s="45"/>
      <c r="HW489" s="45"/>
      <c r="HX489" s="45"/>
      <c r="HY489" s="45"/>
    </row>
    <row r="490" spans="1:233" s="46" customFormat="1" ht="15" customHeight="1">
      <c r="A490" s="73" t="s">
        <v>44</v>
      </c>
      <c r="B490" s="26" t="s">
        <v>10</v>
      </c>
      <c r="C490" s="26" t="s">
        <v>13</v>
      </c>
      <c r="D490" s="26" t="s">
        <v>610</v>
      </c>
      <c r="E490" s="26" t="s">
        <v>67</v>
      </c>
      <c r="F490" s="26" t="s">
        <v>44</v>
      </c>
      <c r="G490" s="26" t="s">
        <v>173</v>
      </c>
      <c r="H490" s="26" t="s">
        <v>22</v>
      </c>
      <c r="I490" s="26" t="s">
        <v>641</v>
      </c>
      <c r="J490" s="26" t="s">
        <v>11</v>
      </c>
      <c r="K490" s="27" t="s">
        <v>24</v>
      </c>
      <c r="L490" s="26">
        <v>297</v>
      </c>
      <c r="M490" s="28">
        <v>128</v>
      </c>
      <c r="N490" s="82">
        <f>M490*100/L490</f>
        <v>43.0976430976431</v>
      </c>
      <c r="O490" s="28">
        <v>110</v>
      </c>
      <c r="P490" s="28">
        <v>11</v>
      </c>
      <c r="Q490" s="21">
        <f>P490*100/O490</f>
        <v>10</v>
      </c>
      <c r="R490" s="31">
        <v>28</v>
      </c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  <c r="BP490" s="45"/>
      <c r="BQ490" s="45"/>
      <c r="BR490" s="45"/>
      <c r="BS490" s="45"/>
      <c r="BT490" s="45"/>
      <c r="BU490" s="45"/>
      <c r="BV490" s="45"/>
      <c r="BW490" s="45"/>
      <c r="BX490" s="45"/>
      <c r="BY490" s="45"/>
      <c r="BZ490" s="45"/>
      <c r="CA490" s="45"/>
      <c r="CB490" s="45"/>
      <c r="CC490" s="45"/>
      <c r="CD490" s="45"/>
      <c r="CE490" s="45"/>
      <c r="CF490" s="45"/>
      <c r="CG490" s="45"/>
      <c r="CH490" s="45"/>
      <c r="CI490" s="45"/>
      <c r="CJ490" s="45"/>
      <c r="CK490" s="45"/>
      <c r="CL490" s="45"/>
      <c r="CM490" s="45"/>
      <c r="CN490" s="45"/>
      <c r="CO490" s="45"/>
      <c r="CP490" s="45"/>
      <c r="CQ490" s="45"/>
      <c r="CR490" s="45"/>
      <c r="CS490" s="45"/>
      <c r="CT490" s="45"/>
      <c r="CU490" s="45"/>
      <c r="CV490" s="45"/>
      <c r="CW490" s="45"/>
      <c r="CX490" s="45"/>
      <c r="CY490" s="45"/>
      <c r="CZ490" s="45"/>
      <c r="DA490" s="45"/>
      <c r="DB490" s="45"/>
      <c r="DC490" s="45"/>
      <c r="DD490" s="45"/>
      <c r="DE490" s="45"/>
      <c r="DF490" s="45"/>
      <c r="DG490" s="45"/>
      <c r="DH490" s="45"/>
      <c r="DI490" s="45"/>
      <c r="DJ490" s="45"/>
      <c r="DK490" s="45"/>
      <c r="DL490" s="45"/>
      <c r="DM490" s="45"/>
      <c r="DN490" s="45"/>
      <c r="DO490" s="45"/>
      <c r="DP490" s="45"/>
      <c r="DQ490" s="45"/>
      <c r="DR490" s="45"/>
      <c r="DS490" s="45"/>
      <c r="DT490" s="45"/>
      <c r="DU490" s="45"/>
      <c r="DV490" s="45"/>
      <c r="DW490" s="45"/>
      <c r="DX490" s="45"/>
      <c r="DY490" s="45"/>
      <c r="DZ490" s="45"/>
      <c r="EA490" s="45"/>
      <c r="EB490" s="45"/>
      <c r="EC490" s="45"/>
      <c r="ED490" s="45"/>
      <c r="EE490" s="45"/>
      <c r="EF490" s="45"/>
      <c r="EG490" s="45"/>
      <c r="EH490" s="45"/>
      <c r="EI490" s="45"/>
      <c r="EJ490" s="45"/>
      <c r="EK490" s="45"/>
      <c r="EL490" s="45"/>
      <c r="EM490" s="45"/>
      <c r="EN490" s="45"/>
      <c r="EO490" s="45"/>
      <c r="EP490" s="45"/>
      <c r="EQ490" s="45"/>
      <c r="ER490" s="45"/>
      <c r="ES490" s="45"/>
      <c r="ET490" s="45"/>
      <c r="EU490" s="45"/>
      <c r="EV490" s="45"/>
      <c r="EW490" s="45"/>
      <c r="EX490" s="45"/>
      <c r="EY490" s="45"/>
      <c r="EZ490" s="45"/>
      <c r="FA490" s="45"/>
      <c r="FB490" s="45"/>
      <c r="FC490" s="45"/>
      <c r="FD490" s="45"/>
      <c r="FE490" s="45"/>
      <c r="FF490" s="45"/>
      <c r="FG490" s="45"/>
      <c r="FH490" s="45"/>
      <c r="FI490" s="45"/>
      <c r="FJ490" s="45"/>
      <c r="FK490" s="45"/>
      <c r="FL490" s="45"/>
      <c r="FM490" s="45"/>
      <c r="FN490" s="45"/>
      <c r="FO490" s="45"/>
      <c r="FP490" s="45"/>
      <c r="FQ490" s="45"/>
      <c r="FR490" s="45"/>
      <c r="FS490" s="45"/>
      <c r="FT490" s="45"/>
      <c r="FU490" s="45"/>
      <c r="FV490" s="45"/>
      <c r="FW490" s="45"/>
      <c r="FX490" s="45"/>
      <c r="FY490" s="45"/>
      <c r="FZ490" s="45"/>
      <c r="GA490" s="45"/>
      <c r="GB490" s="45"/>
      <c r="GC490" s="45"/>
      <c r="GD490" s="45"/>
      <c r="GE490" s="45"/>
      <c r="GF490" s="45"/>
      <c r="GG490" s="45"/>
      <c r="GH490" s="45"/>
      <c r="GI490" s="45"/>
      <c r="GJ490" s="45"/>
      <c r="GK490" s="45"/>
      <c r="GL490" s="45"/>
      <c r="GM490" s="45"/>
      <c r="GN490" s="45"/>
      <c r="GO490" s="45"/>
      <c r="GP490" s="45"/>
      <c r="GQ490" s="45"/>
      <c r="GR490" s="45"/>
      <c r="GS490" s="45"/>
      <c r="GT490" s="45"/>
      <c r="GU490" s="45"/>
      <c r="GV490" s="45"/>
      <c r="GW490" s="45"/>
      <c r="GX490" s="45"/>
      <c r="GY490" s="45"/>
      <c r="GZ490" s="45"/>
      <c r="HA490" s="45"/>
      <c r="HB490" s="45"/>
      <c r="HC490" s="45"/>
      <c r="HD490" s="45"/>
      <c r="HE490" s="45"/>
      <c r="HF490" s="45"/>
      <c r="HG490" s="45"/>
      <c r="HH490" s="45"/>
      <c r="HI490" s="45"/>
      <c r="HJ490" s="45"/>
      <c r="HK490" s="45"/>
      <c r="HL490" s="45"/>
      <c r="HM490" s="45"/>
      <c r="HN490" s="45"/>
      <c r="HO490" s="45"/>
      <c r="HP490" s="45"/>
      <c r="HQ490" s="45"/>
      <c r="HR490" s="45"/>
      <c r="HS490" s="45"/>
      <c r="HT490" s="45"/>
      <c r="HU490" s="45"/>
      <c r="HV490" s="45"/>
      <c r="HW490" s="45"/>
      <c r="HX490" s="45"/>
      <c r="HY490" s="45"/>
    </row>
    <row r="491" spans="1:233" s="46" customFormat="1" ht="15" customHeight="1">
      <c r="A491" s="73" t="s">
        <v>44</v>
      </c>
      <c r="B491" s="26" t="s">
        <v>10</v>
      </c>
      <c r="C491" s="26" t="s">
        <v>13</v>
      </c>
      <c r="D491" s="26" t="s">
        <v>610</v>
      </c>
      <c r="E491" s="26" t="s">
        <v>67</v>
      </c>
      <c r="F491" s="26" t="s">
        <v>44</v>
      </c>
      <c r="G491" s="26" t="s">
        <v>173</v>
      </c>
      <c r="H491" s="26" t="s">
        <v>22</v>
      </c>
      <c r="I491" s="26" t="s">
        <v>641</v>
      </c>
      <c r="J491" s="26" t="s">
        <v>11</v>
      </c>
      <c r="K491" s="27" t="s">
        <v>25</v>
      </c>
      <c r="L491" s="26">
        <v>212</v>
      </c>
      <c r="M491" s="28">
        <v>124</v>
      </c>
      <c r="N491" s="82">
        <f t="shared" ref="N491:N496" si="60">M491*100/L491</f>
        <v>58.490566037735846</v>
      </c>
      <c r="O491" s="28">
        <v>211</v>
      </c>
      <c r="P491" s="28">
        <v>29</v>
      </c>
      <c r="Q491" s="21">
        <f t="shared" ref="Q491:Q496" si="61">P491*100/O491</f>
        <v>13.744075829383887</v>
      </c>
      <c r="R491" s="31">
        <v>28</v>
      </c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  <c r="BP491" s="45"/>
      <c r="BQ491" s="45"/>
      <c r="BR491" s="45"/>
      <c r="BS491" s="45"/>
      <c r="BT491" s="45"/>
      <c r="BU491" s="45"/>
      <c r="BV491" s="45"/>
      <c r="BW491" s="45"/>
      <c r="BX491" s="45"/>
      <c r="BY491" s="45"/>
      <c r="BZ491" s="45"/>
      <c r="CA491" s="45"/>
      <c r="CB491" s="45"/>
      <c r="CC491" s="45"/>
      <c r="CD491" s="45"/>
      <c r="CE491" s="45"/>
      <c r="CF491" s="45"/>
      <c r="CG491" s="45"/>
      <c r="CH491" s="45"/>
      <c r="CI491" s="45"/>
      <c r="CJ491" s="45"/>
      <c r="CK491" s="45"/>
      <c r="CL491" s="45"/>
      <c r="CM491" s="45"/>
      <c r="CN491" s="45"/>
      <c r="CO491" s="45"/>
      <c r="CP491" s="45"/>
      <c r="CQ491" s="45"/>
      <c r="CR491" s="45"/>
      <c r="CS491" s="45"/>
      <c r="CT491" s="45"/>
      <c r="CU491" s="45"/>
      <c r="CV491" s="45"/>
      <c r="CW491" s="45"/>
      <c r="CX491" s="45"/>
      <c r="CY491" s="45"/>
      <c r="CZ491" s="45"/>
      <c r="DA491" s="45"/>
      <c r="DB491" s="45"/>
      <c r="DC491" s="45"/>
      <c r="DD491" s="45"/>
      <c r="DE491" s="45"/>
      <c r="DF491" s="45"/>
      <c r="DG491" s="45"/>
      <c r="DH491" s="45"/>
      <c r="DI491" s="45"/>
      <c r="DJ491" s="45"/>
      <c r="DK491" s="45"/>
      <c r="DL491" s="45"/>
      <c r="DM491" s="45"/>
      <c r="DN491" s="45"/>
      <c r="DO491" s="45"/>
      <c r="DP491" s="45"/>
      <c r="DQ491" s="45"/>
      <c r="DR491" s="45"/>
      <c r="DS491" s="45"/>
      <c r="DT491" s="45"/>
      <c r="DU491" s="45"/>
      <c r="DV491" s="45"/>
      <c r="DW491" s="45"/>
      <c r="DX491" s="45"/>
      <c r="DY491" s="45"/>
      <c r="DZ491" s="45"/>
      <c r="EA491" s="45"/>
      <c r="EB491" s="45"/>
      <c r="EC491" s="45"/>
      <c r="ED491" s="45"/>
      <c r="EE491" s="45"/>
      <c r="EF491" s="45"/>
      <c r="EG491" s="45"/>
      <c r="EH491" s="45"/>
      <c r="EI491" s="45"/>
      <c r="EJ491" s="45"/>
      <c r="EK491" s="45"/>
      <c r="EL491" s="45"/>
      <c r="EM491" s="45"/>
      <c r="EN491" s="45"/>
      <c r="EO491" s="45"/>
      <c r="EP491" s="45"/>
      <c r="EQ491" s="45"/>
      <c r="ER491" s="45"/>
      <c r="ES491" s="45"/>
      <c r="ET491" s="45"/>
      <c r="EU491" s="45"/>
      <c r="EV491" s="45"/>
      <c r="EW491" s="45"/>
      <c r="EX491" s="45"/>
      <c r="EY491" s="45"/>
      <c r="EZ491" s="45"/>
      <c r="FA491" s="45"/>
      <c r="FB491" s="45"/>
      <c r="FC491" s="45"/>
      <c r="FD491" s="45"/>
      <c r="FE491" s="45"/>
      <c r="FF491" s="45"/>
      <c r="FG491" s="45"/>
      <c r="FH491" s="45"/>
      <c r="FI491" s="45"/>
      <c r="FJ491" s="45"/>
      <c r="FK491" s="45"/>
      <c r="FL491" s="45"/>
      <c r="FM491" s="45"/>
      <c r="FN491" s="45"/>
      <c r="FO491" s="45"/>
      <c r="FP491" s="45"/>
      <c r="FQ491" s="45"/>
      <c r="FR491" s="45"/>
      <c r="FS491" s="45"/>
      <c r="FT491" s="45"/>
      <c r="FU491" s="45"/>
      <c r="FV491" s="45"/>
      <c r="FW491" s="45"/>
      <c r="FX491" s="45"/>
      <c r="FY491" s="45"/>
      <c r="FZ491" s="45"/>
      <c r="GA491" s="45"/>
      <c r="GB491" s="45"/>
      <c r="GC491" s="45"/>
      <c r="GD491" s="45"/>
      <c r="GE491" s="45"/>
      <c r="GF491" s="45"/>
      <c r="GG491" s="45"/>
      <c r="GH491" s="45"/>
      <c r="GI491" s="45"/>
      <c r="GJ491" s="45"/>
      <c r="GK491" s="45"/>
      <c r="GL491" s="45"/>
      <c r="GM491" s="45"/>
      <c r="GN491" s="45"/>
      <c r="GO491" s="45"/>
      <c r="GP491" s="45"/>
      <c r="GQ491" s="45"/>
      <c r="GR491" s="45"/>
      <c r="GS491" s="45"/>
      <c r="GT491" s="45"/>
      <c r="GU491" s="45"/>
      <c r="GV491" s="45"/>
      <c r="GW491" s="45"/>
      <c r="GX491" s="45"/>
      <c r="GY491" s="45"/>
      <c r="GZ491" s="45"/>
      <c r="HA491" s="45"/>
      <c r="HB491" s="45"/>
      <c r="HC491" s="45"/>
      <c r="HD491" s="45"/>
      <c r="HE491" s="45"/>
      <c r="HF491" s="45"/>
      <c r="HG491" s="45"/>
      <c r="HH491" s="45"/>
      <c r="HI491" s="45"/>
      <c r="HJ491" s="45"/>
      <c r="HK491" s="45"/>
      <c r="HL491" s="45"/>
      <c r="HM491" s="45"/>
      <c r="HN491" s="45"/>
      <c r="HO491" s="45"/>
      <c r="HP491" s="45"/>
      <c r="HQ491" s="45"/>
      <c r="HR491" s="45"/>
      <c r="HS491" s="45"/>
      <c r="HT491" s="45"/>
      <c r="HU491" s="45"/>
      <c r="HV491" s="45"/>
      <c r="HW491" s="45"/>
      <c r="HX491" s="45"/>
      <c r="HY491" s="45"/>
    </row>
    <row r="492" spans="1:233" s="46" customFormat="1" ht="15" customHeight="1">
      <c r="A492" s="73" t="s">
        <v>44</v>
      </c>
      <c r="B492" s="26" t="s">
        <v>10</v>
      </c>
      <c r="C492" s="26" t="s">
        <v>13</v>
      </c>
      <c r="D492" s="26" t="s">
        <v>610</v>
      </c>
      <c r="E492" s="26" t="s">
        <v>67</v>
      </c>
      <c r="F492" s="26" t="s">
        <v>44</v>
      </c>
      <c r="G492" s="26" t="s">
        <v>173</v>
      </c>
      <c r="H492" s="26" t="s">
        <v>22</v>
      </c>
      <c r="I492" s="26" t="s">
        <v>641</v>
      </c>
      <c r="J492" s="26" t="s">
        <v>11</v>
      </c>
      <c r="K492" s="27" t="s">
        <v>26</v>
      </c>
      <c r="L492" s="26">
        <v>188</v>
      </c>
      <c r="M492" s="28">
        <v>122</v>
      </c>
      <c r="N492" s="82">
        <f t="shared" si="60"/>
        <v>64.893617021276597</v>
      </c>
      <c r="O492" s="28">
        <v>188</v>
      </c>
      <c r="P492" s="28">
        <v>42</v>
      </c>
      <c r="Q492" s="21">
        <f t="shared" si="61"/>
        <v>22.340425531914892</v>
      </c>
      <c r="R492" s="31">
        <v>28</v>
      </c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  <c r="BP492" s="45"/>
      <c r="BQ492" s="45"/>
      <c r="BR492" s="45"/>
      <c r="BS492" s="45"/>
      <c r="BT492" s="45"/>
      <c r="BU492" s="45"/>
      <c r="BV492" s="45"/>
      <c r="BW492" s="45"/>
      <c r="BX492" s="45"/>
      <c r="BY492" s="45"/>
      <c r="BZ492" s="45"/>
      <c r="CA492" s="45"/>
      <c r="CB492" s="45"/>
      <c r="CC492" s="45"/>
      <c r="CD492" s="45"/>
      <c r="CE492" s="45"/>
      <c r="CF492" s="45"/>
      <c r="CG492" s="45"/>
      <c r="CH492" s="45"/>
      <c r="CI492" s="45"/>
      <c r="CJ492" s="45"/>
      <c r="CK492" s="45"/>
      <c r="CL492" s="45"/>
      <c r="CM492" s="45"/>
      <c r="CN492" s="45"/>
      <c r="CO492" s="45"/>
      <c r="CP492" s="45"/>
      <c r="CQ492" s="45"/>
      <c r="CR492" s="45"/>
      <c r="CS492" s="45"/>
      <c r="CT492" s="45"/>
      <c r="CU492" s="45"/>
      <c r="CV492" s="45"/>
      <c r="CW492" s="45"/>
      <c r="CX492" s="45"/>
      <c r="CY492" s="45"/>
      <c r="CZ492" s="45"/>
      <c r="DA492" s="45"/>
      <c r="DB492" s="45"/>
      <c r="DC492" s="45"/>
      <c r="DD492" s="45"/>
      <c r="DE492" s="45"/>
      <c r="DF492" s="45"/>
      <c r="DG492" s="45"/>
      <c r="DH492" s="45"/>
      <c r="DI492" s="45"/>
      <c r="DJ492" s="45"/>
      <c r="DK492" s="45"/>
      <c r="DL492" s="45"/>
      <c r="DM492" s="45"/>
      <c r="DN492" s="45"/>
      <c r="DO492" s="45"/>
      <c r="DP492" s="45"/>
      <c r="DQ492" s="45"/>
      <c r="DR492" s="45"/>
      <c r="DS492" s="45"/>
      <c r="DT492" s="45"/>
      <c r="DU492" s="45"/>
      <c r="DV492" s="45"/>
      <c r="DW492" s="45"/>
      <c r="DX492" s="45"/>
      <c r="DY492" s="45"/>
      <c r="DZ492" s="45"/>
      <c r="EA492" s="45"/>
      <c r="EB492" s="45"/>
      <c r="EC492" s="45"/>
      <c r="ED492" s="45"/>
      <c r="EE492" s="45"/>
      <c r="EF492" s="45"/>
      <c r="EG492" s="45"/>
      <c r="EH492" s="45"/>
      <c r="EI492" s="45"/>
      <c r="EJ492" s="45"/>
      <c r="EK492" s="45"/>
      <c r="EL492" s="45"/>
      <c r="EM492" s="45"/>
      <c r="EN492" s="45"/>
      <c r="EO492" s="45"/>
      <c r="EP492" s="45"/>
      <c r="EQ492" s="45"/>
      <c r="ER492" s="45"/>
      <c r="ES492" s="45"/>
      <c r="ET492" s="45"/>
      <c r="EU492" s="45"/>
      <c r="EV492" s="45"/>
      <c r="EW492" s="45"/>
      <c r="EX492" s="45"/>
      <c r="EY492" s="45"/>
      <c r="EZ492" s="45"/>
      <c r="FA492" s="45"/>
      <c r="FB492" s="45"/>
      <c r="FC492" s="45"/>
      <c r="FD492" s="45"/>
      <c r="FE492" s="45"/>
      <c r="FF492" s="45"/>
      <c r="FG492" s="45"/>
      <c r="FH492" s="45"/>
      <c r="FI492" s="45"/>
      <c r="FJ492" s="45"/>
      <c r="FK492" s="45"/>
      <c r="FL492" s="45"/>
      <c r="FM492" s="45"/>
      <c r="FN492" s="45"/>
      <c r="FO492" s="45"/>
      <c r="FP492" s="45"/>
      <c r="FQ492" s="45"/>
      <c r="FR492" s="45"/>
      <c r="FS492" s="45"/>
      <c r="FT492" s="45"/>
      <c r="FU492" s="45"/>
      <c r="FV492" s="45"/>
      <c r="FW492" s="45"/>
      <c r="FX492" s="45"/>
      <c r="FY492" s="45"/>
      <c r="FZ492" s="45"/>
      <c r="GA492" s="45"/>
      <c r="GB492" s="45"/>
      <c r="GC492" s="45"/>
      <c r="GD492" s="45"/>
      <c r="GE492" s="45"/>
      <c r="GF492" s="45"/>
      <c r="GG492" s="45"/>
      <c r="GH492" s="45"/>
      <c r="GI492" s="45"/>
      <c r="GJ492" s="45"/>
      <c r="GK492" s="45"/>
      <c r="GL492" s="45"/>
      <c r="GM492" s="45"/>
      <c r="GN492" s="45"/>
      <c r="GO492" s="45"/>
      <c r="GP492" s="45"/>
      <c r="GQ492" s="45"/>
      <c r="GR492" s="45"/>
      <c r="GS492" s="45"/>
      <c r="GT492" s="45"/>
      <c r="GU492" s="45"/>
      <c r="GV492" s="45"/>
      <c r="GW492" s="45"/>
      <c r="GX492" s="45"/>
      <c r="GY492" s="45"/>
      <c r="GZ492" s="45"/>
      <c r="HA492" s="45"/>
      <c r="HB492" s="45"/>
      <c r="HC492" s="45"/>
      <c r="HD492" s="45"/>
      <c r="HE492" s="45"/>
      <c r="HF492" s="45"/>
      <c r="HG492" s="45"/>
      <c r="HH492" s="45"/>
      <c r="HI492" s="45"/>
      <c r="HJ492" s="45"/>
      <c r="HK492" s="45"/>
      <c r="HL492" s="45"/>
      <c r="HM492" s="45"/>
      <c r="HN492" s="45"/>
      <c r="HO492" s="45"/>
      <c r="HP492" s="45"/>
      <c r="HQ492" s="45"/>
      <c r="HR492" s="45"/>
      <c r="HS492" s="45"/>
      <c r="HT492" s="45"/>
      <c r="HU492" s="45"/>
      <c r="HV492" s="45"/>
      <c r="HW492" s="45"/>
      <c r="HX492" s="45"/>
      <c r="HY492" s="45"/>
    </row>
    <row r="493" spans="1:233" s="46" customFormat="1" ht="15" customHeight="1">
      <c r="A493" s="73" t="s">
        <v>44</v>
      </c>
      <c r="B493" s="26" t="s">
        <v>10</v>
      </c>
      <c r="C493" s="26" t="s">
        <v>13</v>
      </c>
      <c r="D493" s="26" t="s">
        <v>610</v>
      </c>
      <c r="E493" s="26" t="s">
        <v>67</v>
      </c>
      <c r="F493" s="26" t="s">
        <v>44</v>
      </c>
      <c r="G493" s="26" t="s">
        <v>173</v>
      </c>
      <c r="H493" s="26" t="s">
        <v>22</v>
      </c>
      <c r="I493" s="26" t="s">
        <v>641</v>
      </c>
      <c r="J493" s="26" t="s">
        <v>11</v>
      </c>
      <c r="K493" s="27" t="s">
        <v>27</v>
      </c>
      <c r="L493" s="26">
        <v>225</v>
      </c>
      <c r="M493" s="28">
        <v>164</v>
      </c>
      <c r="N493" s="82">
        <f t="shared" si="60"/>
        <v>72.888888888888886</v>
      </c>
      <c r="O493" s="28">
        <v>223</v>
      </c>
      <c r="P493" s="28">
        <v>71</v>
      </c>
      <c r="Q493" s="21">
        <f t="shared" si="61"/>
        <v>31.838565022421523</v>
      </c>
      <c r="R493" s="31">
        <v>28</v>
      </c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  <c r="BP493" s="45"/>
      <c r="BQ493" s="45"/>
      <c r="BR493" s="45"/>
      <c r="BS493" s="45"/>
      <c r="BT493" s="45"/>
      <c r="BU493" s="45"/>
      <c r="BV493" s="45"/>
      <c r="BW493" s="45"/>
      <c r="BX493" s="45"/>
      <c r="BY493" s="45"/>
      <c r="BZ493" s="45"/>
      <c r="CA493" s="45"/>
      <c r="CB493" s="45"/>
      <c r="CC493" s="45"/>
      <c r="CD493" s="45"/>
      <c r="CE493" s="45"/>
      <c r="CF493" s="45"/>
      <c r="CG493" s="45"/>
      <c r="CH493" s="45"/>
      <c r="CI493" s="45"/>
      <c r="CJ493" s="45"/>
      <c r="CK493" s="45"/>
      <c r="CL493" s="45"/>
      <c r="CM493" s="45"/>
      <c r="CN493" s="45"/>
      <c r="CO493" s="45"/>
      <c r="CP493" s="45"/>
      <c r="CQ493" s="45"/>
      <c r="CR493" s="45"/>
      <c r="CS493" s="45"/>
      <c r="CT493" s="45"/>
      <c r="CU493" s="45"/>
      <c r="CV493" s="45"/>
      <c r="CW493" s="45"/>
      <c r="CX493" s="45"/>
      <c r="CY493" s="45"/>
      <c r="CZ493" s="45"/>
      <c r="DA493" s="45"/>
      <c r="DB493" s="45"/>
      <c r="DC493" s="45"/>
      <c r="DD493" s="45"/>
      <c r="DE493" s="45"/>
      <c r="DF493" s="45"/>
      <c r="DG493" s="45"/>
      <c r="DH493" s="45"/>
      <c r="DI493" s="45"/>
      <c r="DJ493" s="45"/>
      <c r="DK493" s="45"/>
      <c r="DL493" s="45"/>
      <c r="DM493" s="45"/>
      <c r="DN493" s="45"/>
      <c r="DO493" s="45"/>
      <c r="DP493" s="45"/>
      <c r="DQ493" s="45"/>
      <c r="DR493" s="45"/>
      <c r="DS493" s="45"/>
      <c r="DT493" s="45"/>
      <c r="DU493" s="45"/>
      <c r="DV493" s="45"/>
      <c r="DW493" s="45"/>
      <c r="DX493" s="45"/>
      <c r="DY493" s="45"/>
      <c r="DZ493" s="45"/>
      <c r="EA493" s="45"/>
      <c r="EB493" s="45"/>
      <c r="EC493" s="45"/>
      <c r="ED493" s="45"/>
      <c r="EE493" s="45"/>
      <c r="EF493" s="45"/>
      <c r="EG493" s="45"/>
      <c r="EH493" s="45"/>
      <c r="EI493" s="45"/>
      <c r="EJ493" s="45"/>
      <c r="EK493" s="45"/>
      <c r="EL493" s="45"/>
      <c r="EM493" s="45"/>
      <c r="EN493" s="45"/>
      <c r="EO493" s="45"/>
      <c r="EP493" s="45"/>
      <c r="EQ493" s="45"/>
      <c r="ER493" s="45"/>
      <c r="ES493" s="45"/>
      <c r="ET493" s="45"/>
      <c r="EU493" s="45"/>
      <c r="EV493" s="45"/>
      <c r="EW493" s="45"/>
      <c r="EX493" s="45"/>
      <c r="EY493" s="45"/>
      <c r="EZ493" s="45"/>
      <c r="FA493" s="45"/>
      <c r="FB493" s="45"/>
      <c r="FC493" s="45"/>
      <c r="FD493" s="45"/>
      <c r="FE493" s="45"/>
      <c r="FF493" s="45"/>
      <c r="FG493" s="45"/>
      <c r="FH493" s="45"/>
      <c r="FI493" s="45"/>
      <c r="FJ493" s="45"/>
      <c r="FK493" s="45"/>
      <c r="FL493" s="45"/>
      <c r="FM493" s="45"/>
      <c r="FN493" s="45"/>
      <c r="FO493" s="45"/>
      <c r="FP493" s="45"/>
      <c r="FQ493" s="45"/>
      <c r="FR493" s="45"/>
      <c r="FS493" s="45"/>
      <c r="FT493" s="45"/>
      <c r="FU493" s="45"/>
      <c r="FV493" s="45"/>
      <c r="FW493" s="45"/>
      <c r="FX493" s="45"/>
      <c r="FY493" s="45"/>
      <c r="FZ493" s="45"/>
      <c r="GA493" s="45"/>
      <c r="GB493" s="45"/>
      <c r="GC493" s="45"/>
      <c r="GD493" s="45"/>
      <c r="GE493" s="45"/>
      <c r="GF493" s="45"/>
      <c r="GG493" s="45"/>
      <c r="GH493" s="45"/>
      <c r="GI493" s="45"/>
      <c r="GJ493" s="45"/>
      <c r="GK493" s="45"/>
      <c r="GL493" s="45"/>
      <c r="GM493" s="45"/>
      <c r="GN493" s="45"/>
      <c r="GO493" s="45"/>
      <c r="GP493" s="45"/>
      <c r="GQ493" s="45"/>
      <c r="GR493" s="45"/>
      <c r="GS493" s="45"/>
      <c r="GT493" s="45"/>
      <c r="GU493" s="45"/>
      <c r="GV493" s="45"/>
      <c r="GW493" s="45"/>
      <c r="GX493" s="45"/>
      <c r="GY493" s="45"/>
      <c r="GZ493" s="45"/>
      <c r="HA493" s="45"/>
      <c r="HB493" s="45"/>
      <c r="HC493" s="45"/>
      <c r="HD493" s="45"/>
      <c r="HE493" s="45"/>
      <c r="HF493" s="45"/>
      <c r="HG493" s="45"/>
      <c r="HH493" s="45"/>
      <c r="HI493" s="45"/>
      <c r="HJ493" s="45"/>
      <c r="HK493" s="45"/>
      <c r="HL493" s="45"/>
      <c r="HM493" s="45"/>
      <c r="HN493" s="45"/>
      <c r="HO493" s="45"/>
      <c r="HP493" s="45"/>
      <c r="HQ493" s="45"/>
      <c r="HR493" s="45"/>
      <c r="HS493" s="45"/>
      <c r="HT493" s="45"/>
      <c r="HU493" s="45"/>
      <c r="HV493" s="45"/>
      <c r="HW493" s="45"/>
      <c r="HX493" s="45"/>
      <c r="HY493" s="45"/>
    </row>
    <row r="494" spans="1:233" s="46" customFormat="1" ht="15" customHeight="1">
      <c r="A494" s="73" t="s">
        <v>44</v>
      </c>
      <c r="B494" s="26" t="s">
        <v>10</v>
      </c>
      <c r="C494" s="26" t="s">
        <v>13</v>
      </c>
      <c r="D494" s="26" t="s">
        <v>610</v>
      </c>
      <c r="E494" s="26" t="s">
        <v>67</v>
      </c>
      <c r="F494" s="26" t="s">
        <v>44</v>
      </c>
      <c r="G494" s="26" t="s">
        <v>173</v>
      </c>
      <c r="H494" s="26" t="s">
        <v>22</v>
      </c>
      <c r="I494" s="26" t="s">
        <v>641</v>
      </c>
      <c r="J494" s="26" t="s">
        <v>11</v>
      </c>
      <c r="K494" s="27" t="s">
        <v>28</v>
      </c>
      <c r="L494" s="26">
        <v>239</v>
      </c>
      <c r="M494" s="28">
        <v>183</v>
      </c>
      <c r="N494" s="82">
        <f t="shared" si="60"/>
        <v>76.56903765690376</v>
      </c>
      <c r="O494" s="28">
        <v>239</v>
      </c>
      <c r="P494" s="28">
        <v>69</v>
      </c>
      <c r="Q494" s="21">
        <f t="shared" si="61"/>
        <v>28.87029288702929</v>
      </c>
      <c r="R494" s="31">
        <v>28</v>
      </c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  <c r="BP494" s="45"/>
      <c r="BQ494" s="45"/>
      <c r="BR494" s="45"/>
      <c r="BS494" s="45"/>
      <c r="BT494" s="45"/>
      <c r="BU494" s="45"/>
      <c r="BV494" s="45"/>
      <c r="BW494" s="45"/>
      <c r="BX494" s="45"/>
      <c r="BY494" s="45"/>
      <c r="BZ494" s="45"/>
      <c r="CA494" s="45"/>
      <c r="CB494" s="45"/>
      <c r="CC494" s="45"/>
      <c r="CD494" s="45"/>
      <c r="CE494" s="45"/>
      <c r="CF494" s="45"/>
      <c r="CG494" s="45"/>
      <c r="CH494" s="45"/>
      <c r="CI494" s="45"/>
      <c r="CJ494" s="45"/>
      <c r="CK494" s="45"/>
      <c r="CL494" s="45"/>
      <c r="CM494" s="45"/>
      <c r="CN494" s="45"/>
      <c r="CO494" s="45"/>
      <c r="CP494" s="45"/>
      <c r="CQ494" s="45"/>
      <c r="CR494" s="45"/>
      <c r="CS494" s="45"/>
      <c r="CT494" s="45"/>
      <c r="CU494" s="45"/>
      <c r="CV494" s="45"/>
      <c r="CW494" s="45"/>
      <c r="CX494" s="45"/>
      <c r="CY494" s="45"/>
      <c r="CZ494" s="45"/>
      <c r="DA494" s="45"/>
      <c r="DB494" s="45"/>
      <c r="DC494" s="45"/>
      <c r="DD494" s="45"/>
      <c r="DE494" s="45"/>
      <c r="DF494" s="45"/>
      <c r="DG494" s="45"/>
      <c r="DH494" s="45"/>
      <c r="DI494" s="45"/>
      <c r="DJ494" s="45"/>
      <c r="DK494" s="45"/>
      <c r="DL494" s="45"/>
      <c r="DM494" s="45"/>
      <c r="DN494" s="45"/>
      <c r="DO494" s="45"/>
      <c r="DP494" s="45"/>
      <c r="DQ494" s="45"/>
      <c r="DR494" s="45"/>
      <c r="DS494" s="45"/>
      <c r="DT494" s="45"/>
      <c r="DU494" s="45"/>
      <c r="DV494" s="45"/>
      <c r="DW494" s="45"/>
      <c r="DX494" s="45"/>
      <c r="DY494" s="45"/>
      <c r="DZ494" s="45"/>
      <c r="EA494" s="45"/>
      <c r="EB494" s="45"/>
      <c r="EC494" s="45"/>
      <c r="ED494" s="45"/>
      <c r="EE494" s="45"/>
      <c r="EF494" s="45"/>
      <c r="EG494" s="45"/>
      <c r="EH494" s="45"/>
      <c r="EI494" s="45"/>
      <c r="EJ494" s="45"/>
      <c r="EK494" s="45"/>
      <c r="EL494" s="45"/>
      <c r="EM494" s="45"/>
      <c r="EN494" s="45"/>
      <c r="EO494" s="45"/>
      <c r="EP494" s="45"/>
      <c r="EQ494" s="45"/>
      <c r="ER494" s="45"/>
      <c r="ES494" s="45"/>
      <c r="ET494" s="45"/>
      <c r="EU494" s="45"/>
      <c r="EV494" s="45"/>
      <c r="EW494" s="45"/>
      <c r="EX494" s="45"/>
      <c r="EY494" s="45"/>
      <c r="EZ494" s="45"/>
      <c r="FA494" s="45"/>
      <c r="FB494" s="45"/>
      <c r="FC494" s="45"/>
      <c r="FD494" s="45"/>
      <c r="FE494" s="45"/>
      <c r="FF494" s="45"/>
      <c r="FG494" s="45"/>
      <c r="FH494" s="45"/>
      <c r="FI494" s="45"/>
      <c r="FJ494" s="45"/>
      <c r="FK494" s="45"/>
      <c r="FL494" s="45"/>
      <c r="FM494" s="45"/>
      <c r="FN494" s="45"/>
      <c r="FO494" s="45"/>
      <c r="FP494" s="45"/>
      <c r="FQ494" s="45"/>
      <c r="FR494" s="45"/>
      <c r="FS494" s="45"/>
      <c r="FT494" s="45"/>
      <c r="FU494" s="45"/>
      <c r="FV494" s="45"/>
      <c r="FW494" s="45"/>
      <c r="FX494" s="45"/>
      <c r="FY494" s="45"/>
      <c r="FZ494" s="45"/>
      <c r="GA494" s="45"/>
      <c r="GB494" s="45"/>
      <c r="GC494" s="45"/>
      <c r="GD494" s="45"/>
      <c r="GE494" s="45"/>
      <c r="GF494" s="45"/>
      <c r="GG494" s="45"/>
      <c r="GH494" s="45"/>
      <c r="GI494" s="45"/>
      <c r="GJ494" s="45"/>
      <c r="GK494" s="45"/>
      <c r="GL494" s="45"/>
      <c r="GM494" s="45"/>
      <c r="GN494" s="45"/>
      <c r="GO494" s="45"/>
      <c r="GP494" s="45"/>
      <c r="GQ494" s="45"/>
      <c r="GR494" s="45"/>
      <c r="GS494" s="45"/>
      <c r="GT494" s="45"/>
      <c r="GU494" s="45"/>
      <c r="GV494" s="45"/>
      <c r="GW494" s="45"/>
      <c r="GX494" s="45"/>
      <c r="GY494" s="45"/>
      <c r="GZ494" s="45"/>
      <c r="HA494" s="45"/>
      <c r="HB494" s="45"/>
      <c r="HC494" s="45"/>
      <c r="HD494" s="45"/>
      <c r="HE494" s="45"/>
      <c r="HF494" s="45"/>
      <c r="HG494" s="45"/>
      <c r="HH494" s="45"/>
      <c r="HI494" s="45"/>
      <c r="HJ494" s="45"/>
      <c r="HK494" s="45"/>
      <c r="HL494" s="45"/>
      <c r="HM494" s="45"/>
      <c r="HN494" s="45"/>
      <c r="HO494" s="45"/>
      <c r="HP494" s="45"/>
      <c r="HQ494" s="45"/>
      <c r="HR494" s="45"/>
      <c r="HS494" s="45"/>
      <c r="HT494" s="45"/>
      <c r="HU494" s="45"/>
      <c r="HV494" s="45"/>
      <c r="HW494" s="45"/>
      <c r="HX494" s="45"/>
      <c r="HY494" s="45"/>
    </row>
    <row r="495" spans="1:233" s="46" customFormat="1" ht="15" customHeight="1">
      <c r="A495" s="73" t="s">
        <v>44</v>
      </c>
      <c r="B495" s="26" t="s">
        <v>10</v>
      </c>
      <c r="C495" s="26" t="s">
        <v>13</v>
      </c>
      <c r="D495" s="26" t="s">
        <v>610</v>
      </c>
      <c r="E495" s="26" t="s">
        <v>67</v>
      </c>
      <c r="F495" s="26" t="s">
        <v>44</v>
      </c>
      <c r="G495" s="26" t="s">
        <v>173</v>
      </c>
      <c r="H495" s="26" t="s">
        <v>22</v>
      </c>
      <c r="I495" s="26" t="s">
        <v>641</v>
      </c>
      <c r="J495" s="26" t="s">
        <v>11</v>
      </c>
      <c r="K495" s="27" t="s">
        <v>72</v>
      </c>
      <c r="L495" s="26">
        <v>223</v>
      </c>
      <c r="M495" s="28">
        <v>165</v>
      </c>
      <c r="N495" s="82">
        <f t="shared" si="60"/>
        <v>73.991031390134523</v>
      </c>
      <c r="O495" s="28">
        <v>222</v>
      </c>
      <c r="P495" s="28">
        <v>83</v>
      </c>
      <c r="Q495" s="21">
        <f t="shared" si="61"/>
        <v>37.387387387387385</v>
      </c>
      <c r="R495" s="31">
        <v>28</v>
      </c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  <c r="BP495" s="45"/>
      <c r="BQ495" s="45"/>
      <c r="BR495" s="45"/>
      <c r="BS495" s="45"/>
      <c r="BT495" s="45"/>
      <c r="BU495" s="45"/>
      <c r="BV495" s="45"/>
      <c r="BW495" s="45"/>
      <c r="BX495" s="45"/>
      <c r="BY495" s="45"/>
      <c r="BZ495" s="45"/>
      <c r="CA495" s="45"/>
      <c r="CB495" s="45"/>
      <c r="CC495" s="45"/>
      <c r="CD495" s="45"/>
      <c r="CE495" s="45"/>
      <c r="CF495" s="45"/>
      <c r="CG495" s="45"/>
      <c r="CH495" s="45"/>
      <c r="CI495" s="45"/>
      <c r="CJ495" s="45"/>
      <c r="CK495" s="45"/>
      <c r="CL495" s="45"/>
      <c r="CM495" s="45"/>
      <c r="CN495" s="45"/>
      <c r="CO495" s="45"/>
      <c r="CP495" s="45"/>
      <c r="CQ495" s="45"/>
      <c r="CR495" s="45"/>
      <c r="CS495" s="45"/>
      <c r="CT495" s="45"/>
      <c r="CU495" s="45"/>
      <c r="CV495" s="45"/>
      <c r="CW495" s="45"/>
      <c r="CX495" s="45"/>
      <c r="CY495" s="45"/>
      <c r="CZ495" s="45"/>
      <c r="DA495" s="45"/>
      <c r="DB495" s="45"/>
      <c r="DC495" s="45"/>
      <c r="DD495" s="45"/>
      <c r="DE495" s="45"/>
      <c r="DF495" s="45"/>
      <c r="DG495" s="45"/>
      <c r="DH495" s="45"/>
      <c r="DI495" s="45"/>
      <c r="DJ495" s="45"/>
      <c r="DK495" s="45"/>
      <c r="DL495" s="45"/>
      <c r="DM495" s="45"/>
      <c r="DN495" s="45"/>
      <c r="DO495" s="45"/>
      <c r="DP495" s="45"/>
      <c r="DQ495" s="45"/>
      <c r="DR495" s="45"/>
      <c r="DS495" s="45"/>
      <c r="DT495" s="45"/>
      <c r="DU495" s="45"/>
      <c r="DV495" s="45"/>
      <c r="DW495" s="45"/>
      <c r="DX495" s="45"/>
      <c r="DY495" s="45"/>
      <c r="DZ495" s="45"/>
      <c r="EA495" s="45"/>
      <c r="EB495" s="45"/>
      <c r="EC495" s="45"/>
      <c r="ED495" s="45"/>
      <c r="EE495" s="45"/>
      <c r="EF495" s="45"/>
      <c r="EG495" s="45"/>
      <c r="EH495" s="45"/>
      <c r="EI495" s="45"/>
      <c r="EJ495" s="45"/>
      <c r="EK495" s="45"/>
      <c r="EL495" s="45"/>
      <c r="EM495" s="45"/>
      <c r="EN495" s="45"/>
      <c r="EO495" s="45"/>
      <c r="EP495" s="45"/>
      <c r="EQ495" s="45"/>
      <c r="ER495" s="45"/>
      <c r="ES495" s="45"/>
      <c r="ET495" s="45"/>
      <c r="EU495" s="45"/>
      <c r="EV495" s="45"/>
      <c r="EW495" s="45"/>
      <c r="EX495" s="45"/>
      <c r="EY495" s="45"/>
      <c r="EZ495" s="45"/>
      <c r="FA495" s="45"/>
      <c r="FB495" s="45"/>
      <c r="FC495" s="45"/>
      <c r="FD495" s="45"/>
      <c r="FE495" s="45"/>
      <c r="FF495" s="45"/>
      <c r="FG495" s="45"/>
      <c r="FH495" s="45"/>
      <c r="FI495" s="45"/>
      <c r="FJ495" s="45"/>
      <c r="FK495" s="45"/>
      <c r="FL495" s="45"/>
      <c r="FM495" s="45"/>
      <c r="FN495" s="45"/>
      <c r="FO495" s="45"/>
      <c r="FP495" s="45"/>
      <c r="FQ495" s="45"/>
      <c r="FR495" s="45"/>
      <c r="FS495" s="45"/>
      <c r="FT495" s="45"/>
      <c r="FU495" s="45"/>
      <c r="FV495" s="45"/>
      <c r="FW495" s="45"/>
      <c r="FX495" s="45"/>
      <c r="FY495" s="45"/>
      <c r="FZ495" s="45"/>
      <c r="GA495" s="45"/>
      <c r="GB495" s="45"/>
      <c r="GC495" s="45"/>
      <c r="GD495" s="45"/>
      <c r="GE495" s="45"/>
      <c r="GF495" s="45"/>
      <c r="GG495" s="45"/>
      <c r="GH495" s="45"/>
      <c r="GI495" s="45"/>
      <c r="GJ495" s="45"/>
      <c r="GK495" s="45"/>
      <c r="GL495" s="45"/>
      <c r="GM495" s="45"/>
      <c r="GN495" s="45"/>
      <c r="GO495" s="45"/>
      <c r="GP495" s="45"/>
      <c r="GQ495" s="45"/>
      <c r="GR495" s="45"/>
      <c r="GS495" s="45"/>
      <c r="GT495" s="45"/>
      <c r="GU495" s="45"/>
      <c r="GV495" s="45"/>
      <c r="GW495" s="45"/>
      <c r="GX495" s="45"/>
      <c r="GY495" s="45"/>
      <c r="GZ495" s="45"/>
      <c r="HA495" s="45"/>
      <c r="HB495" s="45"/>
      <c r="HC495" s="45"/>
      <c r="HD495" s="45"/>
      <c r="HE495" s="45"/>
      <c r="HF495" s="45"/>
      <c r="HG495" s="45"/>
      <c r="HH495" s="45"/>
      <c r="HI495" s="45"/>
      <c r="HJ495" s="45"/>
      <c r="HK495" s="45"/>
      <c r="HL495" s="45"/>
      <c r="HM495" s="45"/>
      <c r="HN495" s="45"/>
      <c r="HO495" s="45"/>
      <c r="HP495" s="45"/>
      <c r="HQ495" s="45"/>
      <c r="HR495" s="45"/>
      <c r="HS495" s="45"/>
      <c r="HT495" s="45"/>
      <c r="HU495" s="45"/>
      <c r="HV495" s="45"/>
      <c r="HW495" s="45"/>
      <c r="HX495" s="45"/>
      <c r="HY495" s="45"/>
    </row>
    <row r="496" spans="1:233" s="46" customFormat="1" ht="15" customHeight="1">
      <c r="A496" s="73" t="s">
        <v>44</v>
      </c>
      <c r="B496" s="26" t="s">
        <v>10</v>
      </c>
      <c r="C496" s="26" t="s">
        <v>13</v>
      </c>
      <c r="D496" s="26" t="s">
        <v>610</v>
      </c>
      <c r="E496" s="26" t="s">
        <v>67</v>
      </c>
      <c r="F496" s="26" t="s">
        <v>44</v>
      </c>
      <c r="G496" s="26" t="s">
        <v>173</v>
      </c>
      <c r="H496" s="26" t="s">
        <v>22</v>
      </c>
      <c r="I496" s="26" t="s">
        <v>641</v>
      </c>
      <c r="J496" s="26" t="s">
        <v>11</v>
      </c>
      <c r="K496" s="27" t="s">
        <v>73</v>
      </c>
      <c r="L496" s="26">
        <v>232</v>
      </c>
      <c r="M496" s="28">
        <v>166</v>
      </c>
      <c r="N496" s="82">
        <f t="shared" si="60"/>
        <v>71.551724137931032</v>
      </c>
      <c r="O496" s="28">
        <v>232</v>
      </c>
      <c r="P496" s="28">
        <v>99</v>
      </c>
      <c r="Q496" s="21">
        <f t="shared" si="61"/>
        <v>42.672413793103445</v>
      </c>
      <c r="R496" s="31">
        <v>28</v>
      </c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  <c r="BP496" s="45"/>
      <c r="BQ496" s="45"/>
      <c r="BR496" s="45"/>
      <c r="BS496" s="45"/>
      <c r="BT496" s="45"/>
      <c r="BU496" s="45"/>
      <c r="BV496" s="45"/>
      <c r="BW496" s="45"/>
      <c r="BX496" s="45"/>
      <c r="BY496" s="45"/>
      <c r="BZ496" s="45"/>
      <c r="CA496" s="45"/>
      <c r="CB496" s="45"/>
      <c r="CC496" s="45"/>
      <c r="CD496" s="45"/>
      <c r="CE496" s="45"/>
      <c r="CF496" s="45"/>
      <c r="CG496" s="45"/>
      <c r="CH496" s="45"/>
      <c r="CI496" s="45"/>
      <c r="CJ496" s="45"/>
      <c r="CK496" s="45"/>
      <c r="CL496" s="45"/>
      <c r="CM496" s="45"/>
      <c r="CN496" s="45"/>
      <c r="CO496" s="45"/>
      <c r="CP496" s="45"/>
      <c r="CQ496" s="45"/>
      <c r="CR496" s="45"/>
      <c r="CS496" s="45"/>
      <c r="CT496" s="45"/>
      <c r="CU496" s="45"/>
      <c r="CV496" s="45"/>
      <c r="CW496" s="45"/>
      <c r="CX496" s="45"/>
      <c r="CY496" s="45"/>
      <c r="CZ496" s="45"/>
      <c r="DA496" s="45"/>
      <c r="DB496" s="45"/>
      <c r="DC496" s="45"/>
      <c r="DD496" s="45"/>
      <c r="DE496" s="45"/>
      <c r="DF496" s="45"/>
      <c r="DG496" s="45"/>
      <c r="DH496" s="45"/>
      <c r="DI496" s="45"/>
      <c r="DJ496" s="45"/>
      <c r="DK496" s="45"/>
      <c r="DL496" s="45"/>
      <c r="DM496" s="45"/>
      <c r="DN496" s="45"/>
      <c r="DO496" s="45"/>
      <c r="DP496" s="45"/>
      <c r="DQ496" s="45"/>
      <c r="DR496" s="45"/>
      <c r="DS496" s="45"/>
      <c r="DT496" s="45"/>
      <c r="DU496" s="45"/>
      <c r="DV496" s="45"/>
      <c r="DW496" s="45"/>
      <c r="DX496" s="45"/>
      <c r="DY496" s="45"/>
      <c r="DZ496" s="45"/>
      <c r="EA496" s="45"/>
      <c r="EB496" s="45"/>
      <c r="EC496" s="45"/>
      <c r="ED496" s="45"/>
      <c r="EE496" s="45"/>
      <c r="EF496" s="45"/>
      <c r="EG496" s="45"/>
      <c r="EH496" s="45"/>
      <c r="EI496" s="45"/>
      <c r="EJ496" s="45"/>
      <c r="EK496" s="45"/>
      <c r="EL496" s="45"/>
      <c r="EM496" s="45"/>
      <c r="EN496" s="45"/>
      <c r="EO496" s="45"/>
      <c r="EP496" s="45"/>
      <c r="EQ496" s="45"/>
      <c r="ER496" s="45"/>
      <c r="ES496" s="45"/>
      <c r="ET496" s="45"/>
      <c r="EU496" s="45"/>
      <c r="EV496" s="45"/>
      <c r="EW496" s="45"/>
      <c r="EX496" s="45"/>
      <c r="EY496" s="45"/>
      <c r="EZ496" s="45"/>
      <c r="FA496" s="45"/>
      <c r="FB496" s="45"/>
      <c r="FC496" s="45"/>
      <c r="FD496" s="45"/>
      <c r="FE496" s="45"/>
      <c r="FF496" s="45"/>
      <c r="FG496" s="45"/>
      <c r="FH496" s="45"/>
      <c r="FI496" s="45"/>
      <c r="FJ496" s="45"/>
      <c r="FK496" s="45"/>
      <c r="FL496" s="45"/>
      <c r="FM496" s="45"/>
      <c r="FN496" s="45"/>
      <c r="FO496" s="45"/>
      <c r="FP496" s="45"/>
      <c r="FQ496" s="45"/>
      <c r="FR496" s="45"/>
      <c r="FS496" s="45"/>
      <c r="FT496" s="45"/>
      <c r="FU496" s="45"/>
      <c r="FV496" s="45"/>
      <c r="FW496" s="45"/>
      <c r="FX496" s="45"/>
      <c r="FY496" s="45"/>
      <c r="FZ496" s="45"/>
      <c r="GA496" s="45"/>
      <c r="GB496" s="45"/>
      <c r="GC496" s="45"/>
      <c r="GD496" s="45"/>
      <c r="GE496" s="45"/>
      <c r="GF496" s="45"/>
      <c r="GG496" s="45"/>
      <c r="GH496" s="45"/>
      <c r="GI496" s="45"/>
      <c r="GJ496" s="45"/>
      <c r="GK496" s="45"/>
      <c r="GL496" s="45"/>
      <c r="GM496" s="45"/>
      <c r="GN496" s="45"/>
      <c r="GO496" s="45"/>
      <c r="GP496" s="45"/>
      <c r="GQ496" s="45"/>
      <c r="GR496" s="45"/>
      <c r="GS496" s="45"/>
      <c r="GT496" s="45"/>
      <c r="GU496" s="45"/>
      <c r="GV496" s="45"/>
      <c r="GW496" s="45"/>
      <c r="GX496" s="45"/>
      <c r="GY496" s="45"/>
      <c r="GZ496" s="45"/>
      <c r="HA496" s="45"/>
      <c r="HB496" s="45"/>
      <c r="HC496" s="45"/>
      <c r="HD496" s="45"/>
      <c r="HE496" s="45"/>
      <c r="HF496" s="45"/>
      <c r="HG496" s="45"/>
      <c r="HH496" s="45"/>
      <c r="HI496" s="45"/>
      <c r="HJ496" s="45"/>
      <c r="HK496" s="45"/>
      <c r="HL496" s="45"/>
      <c r="HM496" s="45"/>
      <c r="HN496" s="45"/>
      <c r="HO496" s="45"/>
      <c r="HP496" s="45"/>
      <c r="HQ496" s="45"/>
      <c r="HR496" s="45"/>
      <c r="HS496" s="45"/>
      <c r="HT496" s="45"/>
      <c r="HU496" s="45"/>
      <c r="HV496" s="45"/>
      <c r="HW496" s="45"/>
      <c r="HX496" s="45"/>
      <c r="HY496" s="45"/>
    </row>
    <row r="497" spans="1:233" s="46" customFormat="1" ht="15" customHeight="1">
      <c r="A497" s="73" t="s">
        <v>44</v>
      </c>
      <c r="B497" s="26" t="s">
        <v>10</v>
      </c>
      <c r="C497" s="26" t="s">
        <v>13</v>
      </c>
      <c r="D497" s="26" t="s">
        <v>610</v>
      </c>
      <c r="E497" s="26" t="s">
        <v>67</v>
      </c>
      <c r="F497" s="26" t="s">
        <v>44</v>
      </c>
      <c r="G497" s="26" t="s">
        <v>194</v>
      </c>
      <c r="H497" s="26" t="s">
        <v>22</v>
      </c>
      <c r="I497" s="26" t="s">
        <v>641</v>
      </c>
      <c r="J497" s="26" t="s">
        <v>16</v>
      </c>
      <c r="K497" s="27" t="s">
        <v>142</v>
      </c>
      <c r="L497" s="26">
        <f>L505+L513</f>
        <v>3657</v>
      </c>
      <c r="M497" s="26">
        <f>M505+M513</f>
        <v>2165</v>
      </c>
      <c r="N497" s="82">
        <f>M497*100/L497</f>
        <v>59.201531309816787</v>
      </c>
      <c r="O497" s="26">
        <f>O505+O513</f>
        <v>3186</v>
      </c>
      <c r="P497" s="26">
        <f>P505+P513</f>
        <v>636</v>
      </c>
      <c r="Q497" s="82">
        <f>P497*100/O497</f>
        <v>19.962335216572505</v>
      </c>
      <c r="R497" s="31">
        <v>28</v>
      </c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  <c r="BP497" s="45"/>
      <c r="BQ497" s="45"/>
      <c r="BR497" s="45"/>
      <c r="BS497" s="45"/>
      <c r="BT497" s="45"/>
      <c r="BU497" s="45"/>
      <c r="BV497" s="45"/>
      <c r="BW497" s="45"/>
      <c r="BX497" s="45"/>
      <c r="BY497" s="45"/>
      <c r="BZ497" s="45"/>
      <c r="CA497" s="45"/>
      <c r="CB497" s="45"/>
      <c r="CC497" s="45"/>
      <c r="CD497" s="45"/>
      <c r="CE497" s="45"/>
      <c r="CF497" s="45"/>
      <c r="CG497" s="45"/>
      <c r="CH497" s="45"/>
      <c r="CI497" s="45"/>
      <c r="CJ497" s="45"/>
      <c r="CK497" s="45"/>
      <c r="CL497" s="45"/>
      <c r="CM497" s="45"/>
      <c r="CN497" s="45"/>
      <c r="CO497" s="45"/>
      <c r="CP497" s="45"/>
      <c r="CQ497" s="45"/>
      <c r="CR497" s="45"/>
      <c r="CS497" s="45"/>
      <c r="CT497" s="45"/>
      <c r="CU497" s="45"/>
      <c r="CV497" s="45"/>
      <c r="CW497" s="45"/>
      <c r="CX497" s="45"/>
      <c r="CY497" s="45"/>
      <c r="CZ497" s="45"/>
      <c r="DA497" s="45"/>
      <c r="DB497" s="45"/>
      <c r="DC497" s="45"/>
      <c r="DD497" s="45"/>
      <c r="DE497" s="45"/>
      <c r="DF497" s="45"/>
      <c r="DG497" s="45"/>
      <c r="DH497" s="45"/>
      <c r="DI497" s="45"/>
      <c r="DJ497" s="45"/>
      <c r="DK497" s="45"/>
      <c r="DL497" s="45"/>
      <c r="DM497" s="45"/>
      <c r="DN497" s="45"/>
      <c r="DO497" s="45"/>
      <c r="DP497" s="45"/>
      <c r="DQ497" s="45"/>
      <c r="DR497" s="45"/>
      <c r="DS497" s="45"/>
      <c r="DT497" s="45"/>
      <c r="DU497" s="45"/>
      <c r="DV497" s="45"/>
      <c r="DW497" s="45"/>
      <c r="DX497" s="45"/>
      <c r="DY497" s="45"/>
      <c r="DZ497" s="45"/>
      <c r="EA497" s="45"/>
      <c r="EB497" s="45"/>
      <c r="EC497" s="45"/>
      <c r="ED497" s="45"/>
      <c r="EE497" s="45"/>
      <c r="EF497" s="45"/>
      <c r="EG497" s="45"/>
      <c r="EH497" s="45"/>
      <c r="EI497" s="45"/>
      <c r="EJ497" s="45"/>
      <c r="EK497" s="45"/>
      <c r="EL497" s="45"/>
      <c r="EM497" s="45"/>
      <c r="EN497" s="45"/>
      <c r="EO497" s="45"/>
      <c r="EP497" s="45"/>
      <c r="EQ497" s="45"/>
      <c r="ER497" s="45"/>
      <c r="ES497" s="45"/>
      <c r="ET497" s="45"/>
      <c r="EU497" s="45"/>
      <c r="EV497" s="45"/>
      <c r="EW497" s="45"/>
      <c r="EX497" s="45"/>
      <c r="EY497" s="45"/>
      <c r="EZ497" s="45"/>
      <c r="FA497" s="45"/>
      <c r="FB497" s="45"/>
      <c r="FC497" s="45"/>
      <c r="FD497" s="45"/>
      <c r="FE497" s="45"/>
      <c r="FF497" s="45"/>
      <c r="FG497" s="45"/>
      <c r="FH497" s="45"/>
      <c r="FI497" s="45"/>
      <c r="FJ497" s="45"/>
      <c r="FK497" s="45"/>
      <c r="FL497" s="45"/>
      <c r="FM497" s="45"/>
      <c r="FN497" s="45"/>
      <c r="FO497" s="45"/>
      <c r="FP497" s="45"/>
      <c r="FQ497" s="45"/>
      <c r="FR497" s="45"/>
      <c r="FS497" s="45"/>
      <c r="FT497" s="45"/>
      <c r="FU497" s="45"/>
      <c r="FV497" s="45"/>
      <c r="FW497" s="45"/>
      <c r="FX497" s="45"/>
      <c r="FY497" s="45"/>
      <c r="FZ497" s="45"/>
      <c r="GA497" s="45"/>
      <c r="GB497" s="45"/>
      <c r="GC497" s="45"/>
      <c r="GD497" s="45"/>
      <c r="GE497" s="45"/>
      <c r="GF497" s="45"/>
      <c r="GG497" s="45"/>
      <c r="GH497" s="45"/>
      <c r="GI497" s="45"/>
      <c r="GJ497" s="45"/>
      <c r="GK497" s="45"/>
      <c r="GL497" s="45"/>
      <c r="GM497" s="45"/>
      <c r="GN497" s="45"/>
      <c r="GO497" s="45"/>
      <c r="GP497" s="45"/>
      <c r="GQ497" s="45"/>
      <c r="GR497" s="45"/>
      <c r="GS497" s="45"/>
      <c r="GT497" s="45"/>
      <c r="GU497" s="45"/>
      <c r="GV497" s="45"/>
      <c r="GW497" s="45"/>
      <c r="GX497" s="45"/>
      <c r="GY497" s="45"/>
      <c r="GZ497" s="45"/>
      <c r="HA497" s="45"/>
      <c r="HB497" s="45"/>
      <c r="HC497" s="45"/>
      <c r="HD497" s="45"/>
      <c r="HE497" s="45"/>
      <c r="HF497" s="45"/>
      <c r="HG497" s="45"/>
      <c r="HH497" s="45"/>
      <c r="HI497" s="45"/>
      <c r="HJ497" s="45"/>
      <c r="HK497" s="45"/>
      <c r="HL497" s="45"/>
      <c r="HM497" s="45"/>
      <c r="HN497" s="45"/>
      <c r="HO497" s="45"/>
      <c r="HP497" s="45"/>
      <c r="HQ497" s="45"/>
      <c r="HR497" s="45"/>
      <c r="HS497" s="45"/>
      <c r="HT497" s="45"/>
      <c r="HU497" s="45"/>
      <c r="HV497" s="45"/>
      <c r="HW497" s="45"/>
      <c r="HX497" s="45"/>
      <c r="HY497" s="45"/>
    </row>
    <row r="498" spans="1:233" s="46" customFormat="1" ht="15" customHeight="1">
      <c r="A498" s="73" t="s">
        <v>44</v>
      </c>
      <c r="B498" s="26" t="s">
        <v>10</v>
      </c>
      <c r="C498" s="26" t="s">
        <v>13</v>
      </c>
      <c r="D498" s="26" t="s">
        <v>610</v>
      </c>
      <c r="E498" s="26" t="s">
        <v>67</v>
      </c>
      <c r="F498" s="26" t="s">
        <v>44</v>
      </c>
      <c r="G498" s="26" t="s">
        <v>194</v>
      </c>
      <c r="H498" s="26" t="s">
        <v>22</v>
      </c>
      <c r="I498" s="26" t="s">
        <v>641</v>
      </c>
      <c r="J498" s="26" t="s">
        <v>16</v>
      </c>
      <c r="K498" s="27" t="s">
        <v>24</v>
      </c>
      <c r="L498" s="26">
        <f t="shared" ref="L498:M498" si="62">L506+L514</f>
        <v>744</v>
      </c>
      <c r="M498" s="26">
        <f t="shared" si="62"/>
        <v>300</v>
      </c>
      <c r="N498" s="82">
        <f t="shared" ref="N498:N504" si="63">M498*100/L498</f>
        <v>40.322580645161288</v>
      </c>
      <c r="O498" s="26">
        <f t="shared" ref="O498:P498" si="64">O506+O514</f>
        <v>274</v>
      </c>
      <c r="P498" s="26">
        <f t="shared" si="64"/>
        <v>7</v>
      </c>
      <c r="Q498" s="82">
        <f t="shared" ref="Q498:Q504" si="65">P498*100/O498</f>
        <v>2.5547445255474455</v>
      </c>
      <c r="R498" s="31">
        <v>28</v>
      </c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  <c r="BP498" s="45"/>
      <c r="BQ498" s="45"/>
      <c r="BR498" s="45"/>
      <c r="BS498" s="45"/>
      <c r="BT498" s="45"/>
      <c r="BU498" s="45"/>
      <c r="BV498" s="45"/>
      <c r="BW498" s="45"/>
      <c r="BX498" s="45"/>
      <c r="BY498" s="45"/>
      <c r="BZ498" s="45"/>
      <c r="CA498" s="45"/>
      <c r="CB498" s="45"/>
      <c r="CC498" s="45"/>
      <c r="CD498" s="45"/>
      <c r="CE498" s="45"/>
      <c r="CF498" s="45"/>
      <c r="CG498" s="45"/>
      <c r="CH498" s="45"/>
      <c r="CI498" s="45"/>
      <c r="CJ498" s="45"/>
      <c r="CK498" s="45"/>
      <c r="CL498" s="45"/>
      <c r="CM498" s="45"/>
      <c r="CN498" s="45"/>
      <c r="CO498" s="45"/>
      <c r="CP498" s="45"/>
      <c r="CQ498" s="45"/>
      <c r="CR498" s="45"/>
      <c r="CS498" s="45"/>
      <c r="CT498" s="45"/>
      <c r="CU498" s="45"/>
      <c r="CV498" s="45"/>
      <c r="CW498" s="45"/>
      <c r="CX498" s="45"/>
      <c r="CY498" s="45"/>
      <c r="CZ498" s="45"/>
      <c r="DA498" s="45"/>
      <c r="DB498" s="45"/>
      <c r="DC498" s="45"/>
      <c r="DD498" s="45"/>
      <c r="DE498" s="45"/>
      <c r="DF498" s="45"/>
      <c r="DG498" s="45"/>
      <c r="DH498" s="45"/>
      <c r="DI498" s="45"/>
      <c r="DJ498" s="45"/>
      <c r="DK498" s="45"/>
      <c r="DL498" s="45"/>
      <c r="DM498" s="45"/>
      <c r="DN498" s="45"/>
      <c r="DO498" s="45"/>
      <c r="DP498" s="45"/>
      <c r="DQ498" s="45"/>
      <c r="DR498" s="45"/>
      <c r="DS498" s="45"/>
      <c r="DT498" s="45"/>
      <c r="DU498" s="45"/>
      <c r="DV498" s="45"/>
      <c r="DW498" s="45"/>
      <c r="DX498" s="45"/>
      <c r="DY498" s="45"/>
      <c r="DZ498" s="45"/>
      <c r="EA498" s="45"/>
      <c r="EB498" s="45"/>
      <c r="EC498" s="45"/>
      <c r="ED498" s="45"/>
      <c r="EE498" s="45"/>
      <c r="EF498" s="45"/>
      <c r="EG498" s="45"/>
      <c r="EH498" s="45"/>
      <c r="EI498" s="45"/>
      <c r="EJ498" s="45"/>
      <c r="EK498" s="45"/>
      <c r="EL498" s="45"/>
      <c r="EM498" s="45"/>
      <c r="EN498" s="45"/>
      <c r="EO498" s="45"/>
      <c r="EP498" s="45"/>
      <c r="EQ498" s="45"/>
      <c r="ER498" s="45"/>
      <c r="ES498" s="45"/>
      <c r="ET498" s="45"/>
      <c r="EU498" s="45"/>
      <c r="EV498" s="45"/>
      <c r="EW498" s="45"/>
      <c r="EX498" s="45"/>
      <c r="EY498" s="45"/>
      <c r="EZ498" s="45"/>
      <c r="FA498" s="45"/>
      <c r="FB498" s="45"/>
      <c r="FC498" s="45"/>
      <c r="FD498" s="45"/>
      <c r="FE498" s="45"/>
      <c r="FF498" s="45"/>
      <c r="FG498" s="45"/>
      <c r="FH498" s="45"/>
      <c r="FI498" s="45"/>
      <c r="FJ498" s="45"/>
      <c r="FK498" s="45"/>
      <c r="FL498" s="45"/>
      <c r="FM498" s="45"/>
      <c r="FN498" s="45"/>
      <c r="FO498" s="45"/>
      <c r="FP498" s="45"/>
      <c r="FQ498" s="45"/>
      <c r="FR498" s="45"/>
      <c r="FS498" s="45"/>
      <c r="FT498" s="45"/>
      <c r="FU498" s="45"/>
      <c r="FV498" s="45"/>
      <c r="FW498" s="45"/>
      <c r="FX498" s="45"/>
      <c r="FY498" s="45"/>
      <c r="FZ498" s="45"/>
      <c r="GA498" s="45"/>
      <c r="GB498" s="45"/>
      <c r="GC498" s="45"/>
      <c r="GD498" s="45"/>
      <c r="GE498" s="45"/>
      <c r="GF498" s="45"/>
      <c r="GG498" s="45"/>
      <c r="GH498" s="45"/>
      <c r="GI498" s="45"/>
      <c r="GJ498" s="45"/>
      <c r="GK498" s="45"/>
      <c r="GL498" s="45"/>
      <c r="GM498" s="45"/>
      <c r="GN498" s="45"/>
      <c r="GO498" s="45"/>
      <c r="GP498" s="45"/>
      <c r="GQ498" s="45"/>
      <c r="GR498" s="45"/>
      <c r="GS498" s="45"/>
      <c r="GT498" s="45"/>
      <c r="GU498" s="45"/>
      <c r="GV498" s="45"/>
      <c r="GW498" s="45"/>
      <c r="GX498" s="45"/>
      <c r="GY498" s="45"/>
      <c r="GZ498" s="45"/>
      <c r="HA498" s="45"/>
      <c r="HB498" s="45"/>
      <c r="HC498" s="45"/>
      <c r="HD498" s="45"/>
      <c r="HE498" s="45"/>
      <c r="HF498" s="45"/>
      <c r="HG498" s="45"/>
      <c r="HH498" s="45"/>
      <c r="HI498" s="45"/>
      <c r="HJ498" s="45"/>
      <c r="HK498" s="45"/>
      <c r="HL498" s="45"/>
      <c r="HM498" s="45"/>
      <c r="HN498" s="45"/>
      <c r="HO498" s="45"/>
      <c r="HP498" s="45"/>
      <c r="HQ498" s="45"/>
      <c r="HR498" s="45"/>
      <c r="HS498" s="45"/>
      <c r="HT498" s="45"/>
      <c r="HU498" s="45"/>
      <c r="HV498" s="45"/>
      <c r="HW498" s="45"/>
      <c r="HX498" s="45"/>
      <c r="HY498" s="45"/>
    </row>
    <row r="499" spans="1:233" s="46" customFormat="1" ht="15" customHeight="1">
      <c r="A499" s="73" t="s">
        <v>44</v>
      </c>
      <c r="B499" s="26" t="s">
        <v>10</v>
      </c>
      <c r="C499" s="26" t="s">
        <v>13</v>
      </c>
      <c r="D499" s="26" t="s">
        <v>610</v>
      </c>
      <c r="E499" s="26" t="s">
        <v>67</v>
      </c>
      <c r="F499" s="26" t="s">
        <v>44</v>
      </c>
      <c r="G499" s="26" t="s">
        <v>194</v>
      </c>
      <c r="H499" s="26" t="s">
        <v>22</v>
      </c>
      <c r="I499" s="26" t="s">
        <v>641</v>
      </c>
      <c r="J499" s="26" t="s">
        <v>16</v>
      </c>
      <c r="K499" s="27" t="s">
        <v>25</v>
      </c>
      <c r="L499" s="26">
        <f t="shared" ref="L499:M499" si="66">L507+L515</f>
        <v>497</v>
      </c>
      <c r="M499" s="26">
        <f t="shared" si="66"/>
        <v>241</v>
      </c>
      <c r="N499" s="82">
        <f t="shared" si="63"/>
        <v>48.490945674044262</v>
      </c>
      <c r="O499" s="26">
        <f t="shared" ref="O499:P499" si="67">O507+O515</f>
        <v>497</v>
      </c>
      <c r="P499" s="26">
        <f t="shared" si="67"/>
        <v>39</v>
      </c>
      <c r="Q499" s="82">
        <f t="shared" si="65"/>
        <v>7.8470824949698192</v>
      </c>
      <c r="R499" s="31">
        <v>28</v>
      </c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  <c r="BP499" s="45"/>
      <c r="BQ499" s="45"/>
      <c r="BR499" s="45"/>
      <c r="BS499" s="45"/>
      <c r="BT499" s="45"/>
      <c r="BU499" s="45"/>
      <c r="BV499" s="45"/>
      <c r="BW499" s="45"/>
      <c r="BX499" s="45"/>
      <c r="BY499" s="45"/>
      <c r="BZ499" s="45"/>
      <c r="CA499" s="45"/>
      <c r="CB499" s="45"/>
      <c r="CC499" s="45"/>
      <c r="CD499" s="45"/>
      <c r="CE499" s="45"/>
      <c r="CF499" s="45"/>
      <c r="CG499" s="45"/>
      <c r="CH499" s="45"/>
      <c r="CI499" s="45"/>
      <c r="CJ499" s="45"/>
      <c r="CK499" s="45"/>
      <c r="CL499" s="45"/>
      <c r="CM499" s="45"/>
      <c r="CN499" s="45"/>
      <c r="CO499" s="45"/>
      <c r="CP499" s="45"/>
      <c r="CQ499" s="45"/>
      <c r="CR499" s="45"/>
      <c r="CS499" s="45"/>
      <c r="CT499" s="45"/>
      <c r="CU499" s="45"/>
      <c r="CV499" s="45"/>
      <c r="CW499" s="45"/>
      <c r="CX499" s="45"/>
      <c r="CY499" s="45"/>
      <c r="CZ499" s="45"/>
      <c r="DA499" s="45"/>
      <c r="DB499" s="45"/>
      <c r="DC499" s="45"/>
      <c r="DD499" s="45"/>
      <c r="DE499" s="45"/>
      <c r="DF499" s="45"/>
      <c r="DG499" s="45"/>
      <c r="DH499" s="45"/>
      <c r="DI499" s="45"/>
      <c r="DJ499" s="45"/>
      <c r="DK499" s="45"/>
      <c r="DL499" s="45"/>
      <c r="DM499" s="45"/>
      <c r="DN499" s="45"/>
      <c r="DO499" s="45"/>
      <c r="DP499" s="45"/>
      <c r="DQ499" s="45"/>
      <c r="DR499" s="45"/>
      <c r="DS499" s="45"/>
      <c r="DT499" s="45"/>
      <c r="DU499" s="45"/>
      <c r="DV499" s="45"/>
      <c r="DW499" s="45"/>
      <c r="DX499" s="45"/>
      <c r="DY499" s="45"/>
      <c r="DZ499" s="45"/>
      <c r="EA499" s="45"/>
      <c r="EB499" s="45"/>
      <c r="EC499" s="45"/>
      <c r="ED499" s="45"/>
      <c r="EE499" s="45"/>
      <c r="EF499" s="45"/>
      <c r="EG499" s="45"/>
      <c r="EH499" s="45"/>
      <c r="EI499" s="45"/>
      <c r="EJ499" s="45"/>
      <c r="EK499" s="45"/>
      <c r="EL499" s="45"/>
      <c r="EM499" s="45"/>
      <c r="EN499" s="45"/>
      <c r="EO499" s="45"/>
      <c r="EP499" s="45"/>
      <c r="EQ499" s="45"/>
      <c r="ER499" s="45"/>
      <c r="ES499" s="45"/>
      <c r="ET499" s="45"/>
      <c r="EU499" s="45"/>
      <c r="EV499" s="45"/>
      <c r="EW499" s="45"/>
      <c r="EX499" s="45"/>
      <c r="EY499" s="45"/>
      <c r="EZ499" s="45"/>
      <c r="FA499" s="45"/>
      <c r="FB499" s="45"/>
      <c r="FC499" s="45"/>
      <c r="FD499" s="45"/>
      <c r="FE499" s="45"/>
      <c r="FF499" s="45"/>
      <c r="FG499" s="45"/>
      <c r="FH499" s="45"/>
      <c r="FI499" s="45"/>
      <c r="FJ499" s="45"/>
      <c r="FK499" s="45"/>
      <c r="FL499" s="45"/>
      <c r="FM499" s="45"/>
      <c r="FN499" s="45"/>
      <c r="FO499" s="45"/>
      <c r="FP499" s="45"/>
      <c r="FQ499" s="45"/>
      <c r="FR499" s="45"/>
      <c r="FS499" s="45"/>
      <c r="FT499" s="45"/>
      <c r="FU499" s="45"/>
      <c r="FV499" s="45"/>
      <c r="FW499" s="45"/>
      <c r="FX499" s="45"/>
      <c r="FY499" s="45"/>
      <c r="FZ499" s="45"/>
      <c r="GA499" s="45"/>
      <c r="GB499" s="45"/>
      <c r="GC499" s="45"/>
      <c r="GD499" s="45"/>
      <c r="GE499" s="45"/>
      <c r="GF499" s="45"/>
      <c r="GG499" s="45"/>
      <c r="GH499" s="45"/>
      <c r="GI499" s="45"/>
      <c r="GJ499" s="45"/>
      <c r="GK499" s="45"/>
      <c r="GL499" s="45"/>
      <c r="GM499" s="45"/>
      <c r="GN499" s="45"/>
      <c r="GO499" s="45"/>
      <c r="GP499" s="45"/>
      <c r="GQ499" s="45"/>
      <c r="GR499" s="45"/>
      <c r="GS499" s="45"/>
      <c r="GT499" s="45"/>
      <c r="GU499" s="45"/>
      <c r="GV499" s="45"/>
      <c r="GW499" s="45"/>
      <c r="GX499" s="45"/>
      <c r="GY499" s="45"/>
      <c r="GZ499" s="45"/>
      <c r="HA499" s="45"/>
      <c r="HB499" s="45"/>
      <c r="HC499" s="45"/>
      <c r="HD499" s="45"/>
      <c r="HE499" s="45"/>
      <c r="HF499" s="45"/>
      <c r="HG499" s="45"/>
      <c r="HH499" s="45"/>
      <c r="HI499" s="45"/>
      <c r="HJ499" s="45"/>
      <c r="HK499" s="45"/>
      <c r="HL499" s="45"/>
      <c r="HM499" s="45"/>
      <c r="HN499" s="45"/>
      <c r="HO499" s="45"/>
      <c r="HP499" s="45"/>
      <c r="HQ499" s="45"/>
      <c r="HR499" s="45"/>
      <c r="HS499" s="45"/>
      <c r="HT499" s="45"/>
      <c r="HU499" s="45"/>
      <c r="HV499" s="45"/>
      <c r="HW499" s="45"/>
      <c r="HX499" s="45"/>
      <c r="HY499" s="45"/>
    </row>
    <row r="500" spans="1:233" s="46" customFormat="1" ht="15" customHeight="1">
      <c r="A500" s="73" t="s">
        <v>44</v>
      </c>
      <c r="B500" s="26" t="s">
        <v>10</v>
      </c>
      <c r="C500" s="26" t="s">
        <v>13</v>
      </c>
      <c r="D500" s="26" t="s">
        <v>610</v>
      </c>
      <c r="E500" s="26" t="s">
        <v>67</v>
      </c>
      <c r="F500" s="26" t="s">
        <v>44</v>
      </c>
      <c r="G500" s="26" t="s">
        <v>194</v>
      </c>
      <c r="H500" s="26" t="s">
        <v>22</v>
      </c>
      <c r="I500" s="26" t="s">
        <v>641</v>
      </c>
      <c r="J500" s="26" t="s">
        <v>16</v>
      </c>
      <c r="K500" s="27" t="s">
        <v>26</v>
      </c>
      <c r="L500" s="26">
        <f t="shared" ref="L500:M500" si="68">L508+L516</f>
        <v>451</v>
      </c>
      <c r="M500" s="26">
        <f t="shared" si="68"/>
        <v>270</v>
      </c>
      <c r="N500" s="82">
        <f t="shared" si="63"/>
        <v>59.866962305986696</v>
      </c>
      <c r="O500" s="26">
        <f t="shared" ref="O500:P500" si="69">O508+O516</f>
        <v>451</v>
      </c>
      <c r="P500" s="26">
        <f t="shared" si="69"/>
        <v>67</v>
      </c>
      <c r="Q500" s="82">
        <f t="shared" si="65"/>
        <v>14.855875831485587</v>
      </c>
      <c r="R500" s="31">
        <v>28</v>
      </c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  <c r="BP500" s="45"/>
      <c r="BQ500" s="45"/>
      <c r="BR500" s="45"/>
      <c r="BS500" s="45"/>
      <c r="BT500" s="45"/>
      <c r="BU500" s="45"/>
      <c r="BV500" s="45"/>
      <c r="BW500" s="45"/>
      <c r="BX500" s="45"/>
      <c r="BY500" s="45"/>
      <c r="BZ500" s="45"/>
      <c r="CA500" s="45"/>
      <c r="CB500" s="45"/>
      <c r="CC500" s="45"/>
      <c r="CD500" s="45"/>
      <c r="CE500" s="45"/>
      <c r="CF500" s="45"/>
      <c r="CG500" s="45"/>
      <c r="CH500" s="45"/>
      <c r="CI500" s="45"/>
      <c r="CJ500" s="45"/>
      <c r="CK500" s="45"/>
      <c r="CL500" s="45"/>
      <c r="CM500" s="45"/>
      <c r="CN500" s="45"/>
      <c r="CO500" s="45"/>
      <c r="CP500" s="45"/>
      <c r="CQ500" s="45"/>
      <c r="CR500" s="45"/>
      <c r="CS500" s="45"/>
      <c r="CT500" s="45"/>
      <c r="CU500" s="45"/>
      <c r="CV500" s="45"/>
      <c r="CW500" s="45"/>
      <c r="CX500" s="45"/>
      <c r="CY500" s="45"/>
      <c r="CZ500" s="45"/>
      <c r="DA500" s="45"/>
      <c r="DB500" s="45"/>
      <c r="DC500" s="45"/>
      <c r="DD500" s="45"/>
      <c r="DE500" s="45"/>
      <c r="DF500" s="45"/>
      <c r="DG500" s="45"/>
      <c r="DH500" s="45"/>
      <c r="DI500" s="45"/>
      <c r="DJ500" s="45"/>
      <c r="DK500" s="45"/>
      <c r="DL500" s="45"/>
      <c r="DM500" s="45"/>
      <c r="DN500" s="45"/>
      <c r="DO500" s="45"/>
      <c r="DP500" s="45"/>
      <c r="DQ500" s="45"/>
      <c r="DR500" s="45"/>
      <c r="DS500" s="45"/>
      <c r="DT500" s="45"/>
      <c r="DU500" s="45"/>
      <c r="DV500" s="45"/>
      <c r="DW500" s="45"/>
      <c r="DX500" s="45"/>
      <c r="DY500" s="45"/>
      <c r="DZ500" s="45"/>
      <c r="EA500" s="45"/>
      <c r="EB500" s="45"/>
      <c r="EC500" s="45"/>
      <c r="ED500" s="45"/>
      <c r="EE500" s="45"/>
      <c r="EF500" s="45"/>
      <c r="EG500" s="45"/>
      <c r="EH500" s="45"/>
      <c r="EI500" s="45"/>
      <c r="EJ500" s="45"/>
      <c r="EK500" s="45"/>
      <c r="EL500" s="45"/>
      <c r="EM500" s="45"/>
      <c r="EN500" s="45"/>
      <c r="EO500" s="45"/>
      <c r="EP500" s="45"/>
      <c r="EQ500" s="45"/>
      <c r="ER500" s="45"/>
      <c r="ES500" s="45"/>
      <c r="ET500" s="45"/>
      <c r="EU500" s="45"/>
      <c r="EV500" s="45"/>
      <c r="EW500" s="45"/>
      <c r="EX500" s="45"/>
      <c r="EY500" s="45"/>
      <c r="EZ500" s="45"/>
      <c r="FA500" s="45"/>
      <c r="FB500" s="45"/>
      <c r="FC500" s="45"/>
      <c r="FD500" s="45"/>
      <c r="FE500" s="45"/>
      <c r="FF500" s="45"/>
      <c r="FG500" s="45"/>
      <c r="FH500" s="45"/>
      <c r="FI500" s="45"/>
      <c r="FJ500" s="45"/>
      <c r="FK500" s="45"/>
      <c r="FL500" s="45"/>
      <c r="FM500" s="45"/>
      <c r="FN500" s="45"/>
      <c r="FO500" s="45"/>
      <c r="FP500" s="45"/>
      <c r="FQ500" s="45"/>
      <c r="FR500" s="45"/>
      <c r="FS500" s="45"/>
      <c r="FT500" s="45"/>
      <c r="FU500" s="45"/>
      <c r="FV500" s="45"/>
      <c r="FW500" s="45"/>
      <c r="FX500" s="45"/>
      <c r="FY500" s="45"/>
      <c r="FZ500" s="45"/>
      <c r="GA500" s="45"/>
      <c r="GB500" s="45"/>
      <c r="GC500" s="45"/>
      <c r="GD500" s="45"/>
      <c r="GE500" s="45"/>
      <c r="GF500" s="45"/>
      <c r="GG500" s="45"/>
      <c r="GH500" s="45"/>
      <c r="GI500" s="45"/>
      <c r="GJ500" s="45"/>
      <c r="GK500" s="45"/>
      <c r="GL500" s="45"/>
      <c r="GM500" s="45"/>
      <c r="GN500" s="45"/>
      <c r="GO500" s="45"/>
      <c r="GP500" s="45"/>
      <c r="GQ500" s="45"/>
      <c r="GR500" s="45"/>
      <c r="GS500" s="45"/>
      <c r="GT500" s="45"/>
      <c r="GU500" s="45"/>
      <c r="GV500" s="45"/>
      <c r="GW500" s="45"/>
      <c r="GX500" s="45"/>
      <c r="GY500" s="45"/>
      <c r="GZ500" s="45"/>
      <c r="HA500" s="45"/>
      <c r="HB500" s="45"/>
      <c r="HC500" s="45"/>
      <c r="HD500" s="45"/>
      <c r="HE500" s="45"/>
      <c r="HF500" s="45"/>
      <c r="HG500" s="45"/>
      <c r="HH500" s="45"/>
      <c r="HI500" s="45"/>
      <c r="HJ500" s="45"/>
      <c r="HK500" s="45"/>
      <c r="HL500" s="45"/>
      <c r="HM500" s="45"/>
      <c r="HN500" s="45"/>
      <c r="HO500" s="45"/>
      <c r="HP500" s="45"/>
      <c r="HQ500" s="45"/>
      <c r="HR500" s="45"/>
      <c r="HS500" s="45"/>
      <c r="HT500" s="45"/>
      <c r="HU500" s="45"/>
      <c r="HV500" s="45"/>
      <c r="HW500" s="45"/>
      <c r="HX500" s="45"/>
      <c r="HY500" s="45"/>
    </row>
    <row r="501" spans="1:233" s="46" customFormat="1" ht="15" customHeight="1">
      <c r="A501" s="73" t="s">
        <v>44</v>
      </c>
      <c r="B501" s="26" t="s">
        <v>10</v>
      </c>
      <c r="C501" s="26" t="s">
        <v>13</v>
      </c>
      <c r="D501" s="26" t="s">
        <v>610</v>
      </c>
      <c r="E501" s="26" t="s">
        <v>67</v>
      </c>
      <c r="F501" s="26" t="s">
        <v>44</v>
      </c>
      <c r="G501" s="26" t="s">
        <v>194</v>
      </c>
      <c r="H501" s="26" t="s">
        <v>22</v>
      </c>
      <c r="I501" s="26" t="s">
        <v>641</v>
      </c>
      <c r="J501" s="26" t="s">
        <v>16</v>
      </c>
      <c r="K501" s="27" t="s">
        <v>27</v>
      </c>
      <c r="L501" s="26">
        <f t="shared" ref="L501:M501" si="70">L509+L517</f>
        <v>462</v>
      </c>
      <c r="M501" s="26">
        <f t="shared" si="70"/>
        <v>289</v>
      </c>
      <c r="N501" s="82">
        <f t="shared" si="63"/>
        <v>62.554112554112557</v>
      </c>
      <c r="O501" s="26">
        <f t="shared" ref="O501:P501" si="71">O509+O517</f>
        <v>462</v>
      </c>
      <c r="P501" s="26">
        <f t="shared" si="71"/>
        <v>97</v>
      </c>
      <c r="Q501" s="82">
        <f t="shared" si="65"/>
        <v>20.995670995670995</v>
      </c>
      <c r="R501" s="31">
        <v>28</v>
      </c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  <c r="BP501" s="45"/>
      <c r="BQ501" s="45"/>
      <c r="BR501" s="45"/>
      <c r="BS501" s="45"/>
      <c r="BT501" s="45"/>
      <c r="BU501" s="45"/>
      <c r="BV501" s="45"/>
      <c r="BW501" s="45"/>
      <c r="BX501" s="45"/>
      <c r="BY501" s="45"/>
      <c r="BZ501" s="45"/>
      <c r="CA501" s="45"/>
      <c r="CB501" s="45"/>
      <c r="CC501" s="45"/>
      <c r="CD501" s="45"/>
      <c r="CE501" s="45"/>
      <c r="CF501" s="45"/>
      <c r="CG501" s="45"/>
      <c r="CH501" s="45"/>
      <c r="CI501" s="45"/>
      <c r="CJ501" s="45"/>
      <c r="CK501" s="45"/>
      <c r="CL501" s="45"/>
      <c r="CM501" s="45"/>
      <c r="CN501" s="45"/>
      <c r="CO501" s="45"/>
      <c r="CP501" s="45"/>
      <c r="CQ501" s="45"/>
      <c r="CR501" s="45"/>
      <c r="CS501" s="45"/>
      <c r="CT501" s="45"/>
      <c r="CU501" s="45"/>
      <c r="CV501" s="45"/>
      <c r="CW501" s="45"/>
      <c r="CX501" s="45"/>
      <c r="CY501" s="45"/>
      <c r="CZ501" s="45"/>
      <c r="DA501" s="45"/>
      <c r="DB501" s="45"/>
      <c r="DC501" s="45"/>
      <c r="DD501" s="45"/>
      <c r="DE501" s="45"/>
      <c r="DF501" s="45"/>
      <c r="DG501" s="45"/>
      <c r="DH501" s="45"/>
      <c r="DI501" s="45"/>
      <c r="DJ501" s="45"/>
      <c r="DK501" s="45"/>
      <c r="DL501" s="45"/>
      <c r="DM501" s="45"/>
      <c r="DN501" s="45"/>
      <c r="DO501" s="45"/>
      <c r="DP501" s="45"/>
      <c r="DQ501" s="45"/>
      <c r="DR501" s="45"/>
      <c r="DS501" s="45"/>
      <c r="DT501" s="45"/>
      <c r="DU501" s="45"/>
      <c r="DV501" s="45"/>
      <c r="DW501" s="45"/>
      <c r="DX501" s="45"/>
      <c r="DY501" s="45"/>
      <c r="DZ501" s="45"/>
      <c r="EA501" s="45"/>
      <c r="EB501" s="45"/>
      <c r="EC501" s="45"/>
      <c r="ED501" s="45"/>
      <c r="EE501" s="45"/>
      <c r="EF501" s="45"/>
      <c r="EG501" s="45"/>
      <c r="EH501" s="45"/>
      <c r="EI501" s="45"/>
      <c r="EJ501" s="45"/>
      <c r="EK501" s="45"/>
      <c r="EL501" s="45"/>
      <c r="EM501" s="45"/>
      <c r="EN501" s="45"/>
      <c r="EO501" s="45"/>
      <c r="EP501" s="45"/>
      <c r="EQ501" s="45"/>
      <c r="ER501" s="45"/>
      <c r="ES501" s="45"/>
      <c r="ET501" s="45"/>
      <c r="EU501" s="45"/>
      <c r="EV501" s="45"/>
      <c r="EW501" s="45"/>
      <c r="EX501" s="45"/>
      <c r="EY501" s="45"/>
      <c r="EZ501" s="45"/>
      <c r="FA501" s="45"/>
      <c r="FB501" s="45"/>
      <c r="FC501" s="45"/>
      <c r="FD501" s="45"/>
      <c r="FE501" s="45"/>
      <c r="FF501" s="45"/>
      <c r="FG501" s="45"/>
      <c r="FH501" s="45"/>
      <c r="FI501" s="45"/>
      <c r="FJ501" s="45"/>
      <c r="FK501" s="45"/>
      <c r="FL501" s="45"/>
      <c r="FM501" s="45"/>
      <c r="FN501" s="45"/>
      <c r="FO501" s="45"/>
      <c r="FP501" s="45"/>
      <c r="FQ501" s="45"/>
      <c r="FR501" s="45"/>
      <c r="FS501" s="45"/>
      <c r="FT501" s="45"/>
      <c r="FU501" s="45"/>
      <c r="FV501" s="45"/>
      <c r="FW501" s="45"/>
      <c r="FX501" s="45"/>
      <c r="FY501" s="45"/>
      <c r="FZ501" s="45"/>
      <c r="GA501" s="45"/>
      <c r="GB501" s="45"/>
      <c r="GC501" s="45"/>
      <c r="GD501" s="45"/>
      <c r="GE501" s="45"/>
      <c r="GF501" s="45"/>
      <c r="GG501" s="45"/>
      <c r="GH501" s="45"/>
      <c r="GI501" s="45"/>
      <c r="GJ501" s="45"/>
      <c r="GK501" s="45"/>
      <c r="GL501" s="45"/>
      <c r="GM501" s="45"/>
      <c r="GN501" s="45"/>
      <c r="GO501" s="45"/>
      <c r="GP501" s="45"/>
      <c r="GQ501" s="45"/>
      <c r="GR501" s="45"/>
      <c r="GS501" s="45"/>
      <c r="GT501" s="45"/>
      <c r="GU501" s="45"/>
      <c r="GV501" s="45"/>
      <c r="GW501" s="45"/>
      <c r="GX501" s="45"/>
      <c r="GY501" s="45"/>
      <c r="GZ501" s="45"/>
      <c r="HA501" s="45"/>
      <c r="HB501" s="45"/>
      <c r="HC501" s="45"/>
      <c r="HD501" s="45"/>
      <c r="HE501" s="45"/>
      <c r="HF501" s="45"/>
      <c r="HG501" s="45"/>
      <c r="HH501" s="45"/>
      <c r="HI501" s="45"/>
      <c r="HJ501" s="45"/>
      <c r="HK501" s="45"/>
      <c r="HL501" s="45"/>
      <c r="HM501" s="45"/>
      <c r="HN501" s="45"/>
      <c r="HO501" s="45"/>
      <c r="HP501" s="45"/>
      <c r="HQ501" s="45"/>
      <c r="HR501" s="45"/>
      <c r="HS501" s="45"/>
      <c r="HT501" s="45"/>
      <c r="HU501" s="45"/>
      <c r="HV501" s="45"/>
      <c r="HW501" s="45"/>
      <c r="HX501" s="45"/>
      <c r="HY501" s="45"/>
    </row>
    <row r="502" spans="1:233" s="46" customFormat="1" ht="15" customHeight="1">
      <c r="A502" s="73" t="s">
        <v>44</v>
      </c>
      <c r="B502" s="26" t="s">
        <v>10</v>
      </c>
      <c r="C502" s="26" t="s">
        <v>13</v>
      </c>
      <c r="D502" s="26" t="s">
        <v>610</v>
      </c>
      <c r="E502" s="26" t="s">
        <v>67</v>
      </c>
      <c r="F502" s="26" t="s">
        <v>44</v>
      </c>
      <c r="G502" s="26" t="s">
        <v>194</v>
      </c>
      <c r="H502" s="26" t="s">
        <v>22</v>
      </c>
      <c r="I502" s="26" t="s">
        <v>641</v>
      </c>
      <c r="J502" s="26" t="s">
        <v>16</v>
      </c>
      <c r="K502" s="27" t="s">
        <v>28</v>
      </c>
      <c r="L502" s="26">
        <f t="shared" ref="L502:M502" si="72">L510+L518</f>
        <v>473</v>
      </c>
      <c r="M502" s="26">
        <f t="shared" si="72"/>
        <v>304</v>
      </c>
      <c r="N502" s="82">
        <f t="shared" si="63"/>
        <v>64.270613107822413</v>
      </c>
      <c r="O502" s="26">
        <f t="shared" ref="O502:P502" si="73">O510+O518</f>
        <v>471</v>
      </c>
      <c r="P502" s="26">
        <f t="shared" si="73"/>
        <v>115</v>
      </c>
      <c r="Q502" s="82">
        <f t="shared" si="65"/>
        <v>24.416135881104033</v>
      </c>
      <c r="R502" s="31">
        <v>28</v>
      </c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  <c r="BP502" s="45"/>
      <c r="BQ502" s="45"/>
      <c r="BR502" s="45"/>
      <c r="BS502" s="45"/>
      <c r="BT502" s="45"/>
      <c r="BU502" s="45"/>
      <c r="BV502" s="45"/>
      <c r="BW502" s="45"/>
      <c r="BX502" s="45"/>
      <c r="BY502" s="45"/>
      <c r="BZ502" s="45"/>
      <c r="CA502" s="45"/>
      <c r="CB502" s="45"/>
      <c r="CC502" s="45"/>
      <c r="CD502" s="45"/>
      <c r="CE502" s="45"/>
      <c r="CF502" s="45"/>
      <c r="CG502" s="45"/>
      <c r="CH502" s="45"/>
      <c r="CI502" s="45"/>
      <c r="CJ502" s="45"/>
      <c r="CK502" s="45"/>
      <c r="CL502" s="45"/>
      <c r="CM502" s="45"/>
      <c r="CN502" s="45"/>
      <c r="CO502" s="45"/>
      <c r="CP502" s="45"/>
      <c r="CQ502" s="45"/>
      <c r="CR502" s="45"/>
      <c r="CS502" s="45"/>
      <c r="CT502" s="45"/>
      <c r="CU502" s="45"/>
      <c r="CV502" s="45"/>
      <c r="CW502" s="45"/>
      <c r="CX502" s="45"/>
      <c r="CY502" s="45"/>
      <c r="CZ502" s="45"/>
      <c r="DA502" s="45"/>
      <c r="DB502" s="45"/>
      <c r="DC502" s="45"/>
      <c r="DD502" s="45"/>
      <c r="DE502" s="45"/>
      <c r="DF502" s="45"/>
      <c r="DG502" s="45"/>
      <c r="DH502" s="45"/>
      <c r="DI502" s="45"/>
      <c r="DJ502" s="45"/>
      <c r="DK502" s="45"/>
      <c r="DL502" s="45"/>
      <c r="DM502" s="45"/>
      <c r="DN502" s="45"/>
      <c r="DO502" s="45"/>
      <c r="DP502" s="45"/>
      <c r="DQ502" s="45"/>
      <c r="DR502" s="45"/>
      <c r="DS502" s="45"/>
      <c r="DT502" s="45"/>
      <c r="DU502" s="45"/>
      <c r="DV502" s="45"/>
      <c r="DW502" s="45"/>
      <c r="DX502" s="45"/>
      <c r="DY502" s="45"/>
      <c r="DZ502" s="45"/>
      <c r="EA502" s="45"/>
      <c r="EB502" s="45"/>
      <c r="EC502" s="45"/>
      <c r="ED502" s="45"/>
      <c r="EE502" s="45"/>
      <c r="EF502" s="45"/>
      <c r="EG502" s="45"/>
      <c r="EH502" s="45"/>
      <c r="EI502" s="45"/>
      <c r="EJ502" s="45"/>
      <c r="EK502" s="45"/>
      <c r="EL502" s="45"/>
      <c r="EM502" s="45"/>
      <c r="EN502" s="45"/>
      <c r="EO502" s="45"/>
      <c r="EP502" s="45"/>
      <c r="EQ502" s="45"/>
      <c r="ER502" s="45"/>
      <c r="ES502" s="45"/>
      <c r="ET502" s="45"/>
      <c r="EU502" s="45"/>
      <c r="EV502" s="45"/>
      <c r="EW502" s="45"/>
      <c r="EX502" s="45"/>
      <c r="EY502" s="45"/>
      <c r="EZ502" s="45"/>
      <c r="FA502" s="45"/>
      <c r="FB502" s="45"/>
      <c r="FC502" s="45"/>
      <c r="FD502" s="45"/>
      <c r="FE502" s="45"/>
      <c r="FF502" s="45"/>
      <c r="FG502" s="45"/>
      <c r="FH502" s="45"/>
      <c r="FI502" s="45"/>
      <c r="FJ502" s="45"/>
      <c r="FK502" s="45"/>
      <c r="FL502" s="45"/>
      <c r="FM502" s="45"/>
      <c r="FN502" s="45"/>
      <c r="FO502" s="45"/>
      <c r="FP502" s="45"/>
      <c r="FQ502" s="45"/>
      <c r="FR502" s="45"/>
      <c r="FS502" s="45"/>
      <c r="FT502" s="45"/>
      <c r="FU502" s="45"/>
      <c r="FV502" s="45"/>
      <c r="FW502" s="45"/>
      <c r="FX502" s="45"/>
      <c r="FY502" s="45"/>
      <c r="FZ502" s="45"/>
      <c r="GA502" s="45"/>
      <c r="GB502" s="45"/>
      <c r="GC502" s="45"/>
      <c r="GD502" s="45"/>
      <c r="GE502" s="45"/>
      <c r="GF502" s="45"/>
      <c r="GG502" s="45"/>
      <c r="GH502" s="45"/>
      <c r="GI502" s="45"/>
      <c r="GJ502" s="45"/>
      <c r="GK502" s="45"/>
      <c r="GL502" s="45"/>
      <c r="GM502" s="45"/>
      <c r="GN502" s="45"/>
      <c r="GO502" s="45"/>
      <c r="GP502" s="45"/>
      <c r="GQ502" s="45"/>
      <c r="GR502" s="45"/>
      <c r="GS502" s="45"/>
      <c r="GT502" s="45"/>
      <c r="GU502" s="45"/>
      <c r="GV502" s="45"/>
      <c r="GW502" s="45"/>
      <c r="GX502" s="45"/>
      <c r="GY502" s="45"/>
      <c r="GZ502" s="45"/>
      <c r="HA502" s="45"/>
      <c r="HB502" s="45"/>
      <c r="HC502" s="45"/>
      <c r="HD502" s="45"/>
      <c r="HE502" s="45"/>
      <c r="HF502" s="45"/>
      <c r="HG502" s="45"/>
      <c r="HH502" s="45"/>
      <c r="HI502" s="45"/>
      <c r="HJ502" s="45"/>
      <c r="HK502" s="45"/>
      <c r="HL502" s="45"/>
      <c r="HM502" s="45"/>
      <c r="HN502" s="45"/>
      <c r="HO502" s="45"/>
      <c r="HP502" s="45"/>
      <c r="HQ502" s="45"/>
      <c r="HR502" s="45"/>
      <c r="HS502" s="45"/>
      <c r="HT502" s="45"/>
      <c r="HU502" s="45"/>
      <c r="HV502" s="45"/>
      <c r="HW502" s="45"/>
      <c r="HX502" s="45"/>
      <c r="HY502" s="45"/>
    </row>
    <row r="503" spans="1:233" s="46" customFormat="1" ht="15" customHeight="1">
      <c r="A503" s="73" t="s">
        <v>44</v>
      </c>
      <c r="B503" s="26" t="s">
        <v>10</v>
      </c>
      <c r="C503" s="26" t="s">
        <v>13</v>
      </c>
      <c r="D503" s="26" t="s">
        <v>610</v>
      </c>
      <c r="E503" s="26" t="s">
        <v>67</v>
      </c>
      <c r="F503" s="26" t="s">
        <v>44</v>
      </c>
      <c r="G503" s="26" t="s">
        <v>194</v>
      </c>
      <c r="H503" s="26" t="s">
        <v>22</v>
      </c>
      <c r="I503" s="26" t="s">
        <v>641</v>
      </c>
      <c r="J503" s="26" t="s">
        <v>16</v>
      </c>
      <c r="K503" s="27" t="s">
        <v>72</v>
      </c>
      <c r="L503" s="26">
        <f t="shared" ref="L503:M503" si="74">L511+L519</f>
        <v>525</v>
      </c>
      <c r="M503" s="26">
        <f t="shared" si="74"/>
        <v>388</v>
      </c>
      <c r="N503" s="82">
        <f t="shared" si="63"/>
        <v>73.904761904761898</v>
      </c>
      <c r="O503" s="26">
        <f t="shared" ref="O503:P503" si="75">O511+O519</f>
        <v>525</v>
      </c>
      <c r="P503" s="26">
        <f t="shared" si="75"/>
        <v>153</v>
      </c>
      <c r="Q503" s="82">
        <f t="shared" si="65"/>
        <v>29.142857142857142</v>
      </c>
      <c r="R503" s="31">
        <v>28</v>
      </c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  <c r="BP503" s="45"/>
      <c r="BQ503" s="45"/>
      <c r="BR503" s="45"/>
      <c r="BS503" s="45"/>
      <c r="BT503" s="45"/>
      <c r="BU503" s="45"/>
      <c r="BV503" s="45"/>
      <c r="BW503" s="45"/>
      <c r="BX503" s="45"/>
      <c r="BY503" s="45"/>
      <c r="BZ503" s="45"/>
      <c r="CA503" s="45"/>
      <c r="CB503" s="45"/>
      <c r="CC503" s="45"/>
      <c r="CD503" s="45"/>
      <c r="CE503" s="45"/>
      <c r="CF503" s="45"/>
      <c r="CG503" s="45"/>
      <c r="CH503" s="45"/>
      <c r="CI503" s="45"/>
      <c r="CJ503" s="45"/>
      <c r="CK503" s="45"/>
      <c r="CL503" s="45"/>
      <c r="CM503" s="45"/>
      <c r="CN503" s="45"/>
      <c r="CO503" s="45"/>
      <c r="CP503" s="45"/>
      <c r="CQ503" s="45"/>
      <c r="CR503" s="45"/>
      <c r="CS503" s="45"/>
      <c r="CT503" s="45"/>
      <c r="CU503" s="45"/>
      <c r="CV503" s="45"/>
      <c r="CW503" s="45"/>
      <c r="CX503" s="45"/>
      <c r="CY503" s="45"/>
      <c r="CZ503" s="45"/>
      <c r="DA503" s="45"/>
      <c r="DB503" s="45"/>
      <c r="DC503" s="45"/>
      <c r="DD503" s="45"/>
      <c r="DE503" s="45"/>
      <c r="DF503" s="45"/>
      <c r="DG503" s="45"/>
      <c r="DH503" s="45"/>
      <c r="DI503" s="45"/>
      <c r="DJ503" s="45"/>
      <c r="DK503" s="45"/>
      <c r="DL503" s="45"/>
      <c r="DM503" s="45"/>
      <c r="DN503" s="45"/>
      <c r="DO503" s="45"/>
      <c r="DP503" s="45"/>
      <c r="DQ503" s="45"/>
      <c r="DR503" s="45"/>
      <c r="DS503" s="45"/>
      <c r="DT503" s="45"/>
      <c r="DU503" s="45"/>
      <c r="DV503" s="45"/>
      <c r="DW503" s="45"/>
      <c r="DX503" s="45"/>
      <c r="DY503" s="45"/>
      <c r="DZ503" s="45"/>
      <c r="EA503" s="45"/>
      <c r="EB503" s="45"/>
      <c r="EC503" s="45"/>
      <c r="ED503" s="45"/>
      <c r="EE503" s="45"/>
      <c r="EF503" s="45"/>
      <c r="EG503" s="45"/>
      <c r="EH503" s="45"/>
      <c r="EI503" s="45"/>
      <c r="EJ503" s="45"/>
      <c r="EK503" s="45"/>
      <c r="EL503" s="45"/>
      <c r="EM503" s="45"/>
      <c r="EN503" s="45"/>
      <c r="EO503" s="45"/>
      <c r="EP503" s="45"/>
      <c r="EQ503" s="45"/>
      <c r="ER503" s="45"/>
      <c r="ES503" s="45"/>
      <c r="ET503" s="45"/>
      <c r="EU503" s="45"/>
      <c r="EV503" s="45"/>
      <c r="EW503" s="45"/>
      <c r="EX503" s="45"/>
      <c r="EY503" s="45"/>
      <c r="EZ503" s="45"/>
      <c r="FA503" s="45"/>
      <c r="FB503" s="45"/>
      <c r="FC503" s="45"/>
      <c r="FD503" s="45"/>
      <c r="FE503" s="45"/>
      <c r="FF503" s="45"/>
      <c r="FG503" s="45"/>
      <c r="FH503" s="45"/>
      <c r="FI503" s="45"/>
      <c r="FJ503" s="45"/>
      <c r="FK503" s="45"/>
      <c r="FL503" s="45"/>
      <c r="FM503" s="45"/>
      <c r="FN503" s="45"/>
      <c r="FO503" s="45"/>
      <c r="FP503" s="45"/>
      <c r="FQ503" s="45"/>
      <c r="FR503" s="45"/>
      <c r="FS503" s="45"/>
      <c r="FT503" s="45"/>
      <c r="FU503" s="45"/>
      <c r="FV503" s="45"/>
      <c r="FW503" s="45"/>
      <c r="FX503" s="45"/>
      <c r="FY503" s="45"/>
      <c r="FZ503" s="45"/>
      <c r="GA503" s="45"/>
      <c r="GB503" s="45"/>
      <c r="GC503" s="45"/>
      <c r="GD503" s="45"/>
      <c r="GE503" s="45"/>
      <c r="GF503" s="45"/>
      <c r="GG503" s="45"/>
      <c r="GH503" s="45"/>
      <c r="GI503" s="45"/>
      <c r="GJ503" s="45"/>
      <c r="GK503" s="45"/>
      <c r="GL503" s="45"/>
      <c r="GM503" s="45"/>
      <c r="GN503" s="45"/>
      <c r="GO503" s="45"/>
      <c r="GP503" s="45"/>
      <c r="GQ503" s="45"/>
      <c r="GR503" s="45"/>
      <c r="GS503" s="45"/>
      <c r="GT503" s="45"/>
      <c r="GU503" s="45"/>
      <c r="GV503" s="45"/>
      <c r="GW503" s="45"/>
      <c r="GX503" s="45"/>
      <c r="GY503" s="45"/>
      <c r="GZ503" s="45"/>
      <c r="HA503" s="45"/>
      <c r="HB503" s="45"/>
      <c r="HC503" s="45"/>
      <c r="HD503" s="45"/>
      <c r="HE503" s="45"/>
      <c r="HF503" s="45"/>
      <c r="HG503" s="45"/>
      <c r="HH503" s="45"/>
      <c r="HI503" s="45"/>
      <c r="HJ503" s="45"/>
      <c r="HK503" s="45"/>
      <c r="HL503" s="45"/>
      <c r="HM503" s="45"/>
      <c r="HN503" s="45"/>
      <c r="HO503" s="45"/>
      <c r="HP503" s="45"/>
      <c r="HQ503" s="45"/>
      <c r="HR503" s="45"/>
      <c r="HS503" s="45"/>
      <c r="HT503" s="45"/>
      <c r="HU503" s="45"/>
      <c r="HV503" s="45"/>
      <c r="HW503" s="45"/>
      <c r="HX503" s="45"/>
      <c r="HY503" s="45"/>
    </row>
    <row r="504" spans="1:233" s="46" customFormat="1" ht="15" customHeight="1">
      <c r="A504" s="73" t="s">
        <v>44</v>
      </c>
      <c r="B504" s="26" t="s">
        <v>10</v>
      </c>
      <c r="C504" s="26" t="s">
        <v>13</v>
      </c>
      <c r="D504" s="26" t="s">
        <v>610</v>
      </c>
      <c r="E504" s="26" t="s">
        <v>67</v>
      </c>
      <c r="F504" s="26" t="s">
        <v>44</v>
      </c>
      <c r="G504" s="26" t="s">
        <v>194</v>
      </c>
      <c r="H504" s="26" t="s">
        <v>22</v>
      </c>
      <c r="I504" s="26" t="s">
        <v>641</v>
      </c>
      <c r="J504" s="26" t="s">
        <v>16</v>
      </c>
      <c r="K504" s="27" t="s">
        <v>73</v>
      </c>
      <c r="L504" s="26">
        <f t="shared" ref="L504:M504" si="76">L512+L520</f>
        <v>505</v>
      </c>
      <c r="M504" s="26">
        <f t="shared" si="76"/>
        <v>373</v>
      </c>
      <c r="N504" s="82">
        <f t="shared" si="63"/>
        <v>73.861386138613867</v>
      </c>
      <c r="O504" s="26">
        <f t="shared" ref="O504:P504" si="77">O512+O520</f>
        <v>506</v>
      </c>
      <c r="P504" s="26">
        <f t="shared" si="77"/>
        <v>158</v>
      </c>
      <c r="Q504" s="82">
        <f t="shared" si="65"/>
        <v>31.225296442687746</v>
      </c>
      <c r="R504" s="31">
        <v>28</v>
      </c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  <c r="BP504" s="45"/>
      <c r="BQ504" s="45"/>
      <c r="BR504" s="45"/>
      <c r="BS504" s="45"/>
      <c r="BT504" s="45"/>
      <c r="BU504" s="45"/>
      <c r="BV504" s="45"/>
      <c r="BW504" s="45"/>
      <c r="BX504" s="45"/>
      <c r="BY504" s="45"/>
      <c r="BZ504" s="45"/>
      <c r="CA504" s="45"/>
      <c r="CB504" s="45"/>
      <c r="CC504" s="45"/>
      <c r="CD504" s="45"/>
      <c r="CE504" s="45"/>
      <c r="CF504" s="45"/>
      <c r="CG504" s="45"/>
      <c r="CH504" s="45"/>
      <c r="CI504" s="45"/>
      <c r="CJ504" s="45"/>
      <c r="CK504" s="45"/>
      <c r="CL504" s="45"/>
      <c r="CM504" s="45"/>
      <c r="CN504" s="45"/>
      <c r="CO504" s="45"/>
      <c r="CP504" s="45"/>
      <c r="CQ504" s="45"/>
      <c r="CR504" s="45"/>
      <c r="CS504" s="45"/>
      <c r="CT504" s="45"/>
      <c r="CU504" s="45"/>
      <c r="CV504" s="45"/>
      <c r="CW504" s="45"/>
      <c r="CX504" s="45"/>
      <c r="CY504" s="45"/>
      <c r="CZ504" s="45"/>
      <c r="DA504" s="45"/>
      <c r="DB504" s="45"/>
      <c r="DC504" s="45"/>
      <c r="DD504" s="45"/>
      <c r="DE504" s="45"/>
      <c r="DF504" s="45"/>
      <c r="DG504" s="45"/>
      <c r="DH504" s="45"/>
      <c r="DI504" s="45"/>
      <c r="DJ504" s="45"/>
      <c r="DK504" s="45"/>
      <c r="DL504" s="45"/>
      <c r="DM504" s="45"/>
      <c r="DN504" s="45"/>
      <c r="DO504" s="45"/>
      <c r="DP504" s="45"/>
      <c r="DQ504" s="45"/>
      <c r="DR504" s="45"/>
      <c r="DS504" s="45"/>
      <c r="DT504" s="45"/>
      <c r="DU504" s="45"/>
      <c r="DV504" s="45"/>
      <c r="DW504" s="45"/>
      <c r="DX504" s="45"/>
      <c r="DY504" s="45"/>
      <c r="DZ504" s="45"/>
      <c r="EA504" s="45"/>
      <c r="EB504" s="45"/>
      <c r="EC504" s="45"/>
      <c r="ED504" s="45"/>
      <c r="EE504" s="45"/>
      <c r="EF504" s="45"/>
      <c r="EG504" s="45"/>
      <c r="EH504" s="45"/>
      <c r="EI504" s="45"/>
      <c r="EJ504" s="45"/>
      <c r="EK504" s="45"/>
      <c r="EL504" s="45"/>
      <c r="EM504" s="45"/>
      <c r="EN504" s="45"/>
      <c r="EO504" s="45"/>
      <c r="EP504" s="45"/>
      <c r="EQ504" s="45"/>
      <c r="ER504" s="45"/>
      <c r="ES504" s="45"/>
      <c r="ET504" s="45"/>
      <c r="EU504" s="45"/>
      <c r="EV504" s="45"/>
      <c r="EW504" s="45"/>
      <c r="EX504" s="45"/>
      <c r="EY504" s="45"/>
      <c r="EZ504" s="45"/>
      <c r="FA504" s="45"/>
      <c r="FB504" s="45"/>
      <c r="FC504" s="45"/>
      <c r="FD504" s="45"/>
      <c r="FE504" s="45"/>
      <c r="FF504" s="45"/>
      <c r="FG504" s="45"/>
      <c r="FH504" s="45"/>
      <c r="FI504" s="45"/>
      <c r="FJ504" s="45"/>
      <c r="FK504" s="45"/>
      <c r="FL504" s="45"/>
      <c r="FM504" s="45"/>
      <c r="FN504" s="45"/>
      <c r="FO504" s="45"/>
      <c r="FP504" s="45"/>
      <c r="FQ504" s="45"/>
      <c r="FR504" s="45"/>
      <c r="FS504" s="45"/>
      <c r="FT504" s="45"/>
      <c r="FU504" s="45"/>
      <c r="FV504" s="45"/>
      <c r="FW504" s="45"/>
      <c r="FX504" s="45"/>
      <c r="FY504" s="45"/>
      <c r="FZ504" s="45"/>
      <c r="GA504" s="45"/>
      <c r="GB504" s="45"/>
      <c r="GC504" s="45"/>
      <c r="GD504" s="45"/>
      <c r="GE504" s="45"/>
      <c r="GF504" s="45"/>
      <c r="GG504" s="45"/>
      <c r="GH504" s="45"/>
      <c r="GI504" s="45"/>
      <c r="GJ504" s="45"/>
      <c r="GK504" s="45"/>
      <c r="GL504" s="45"/>
      <c r="GM504" s="45"/>
      <c r="GN504" s="45"/>
      <c r="GO504" s="45"/>
      <c r="GP504" s="45"/>
      <c r="GQ504" s="45"/>
      <c r="GR504" s="45"/>
      <c r="GS504" s="45"/>
      <c r="GT504" s="45"/>
      <c r="GU504" s="45"/>
      <c r="GV504" s="45"/>
      <c r="GW504" s="45"/>
      <c r="GX504" s="45"/>
      <c r="GY504" s="45"/>
      <c r="GZ504" s="45"/>
      <c r="HA504" s="45"/>
      <c r="HB504" s="45"/>
      <c r="HC504" s="45"/>
      <c r="HD504" s="45"/>
      <c r="HE504" s="45"/>
      <c r="HF504" s="45"/>
      <c r="HG504" s="45"/>
      <c r="HH504" s="45"/>
      <c r="HI504" s="45"/>
      <c r="HJ504" s="45"/>
      <c r="HK504" s="45"/>
      <c r="HL504" s="45"/>
      <c r="HM504" s="45"/>
      <c r="HN504" s="45"/>
      <c r="HO504" s="45"/>
      <c r="HP504" s="45"/>
      <c r="HQ504" s="45"/>
      <c r="HR504" s="45"/>
      <c r="HS504" s="45"/>
      <c r="HT504" s="45"/>
      <c r="HU504" s="45"/>
      <c r="HV504" s="45"/>
      <c r="HW504" s="45"/>
      <c r="HX504" s="45"/>
      <c r="HY504" s="45"/>
    </row>
    <row r="505" spans="1:233" s="46" customFormat="1" ht="15" customHeight="1">
      <c r="A505" s="73" t="s">
        <v>44</v>
      </c>
      <c r="B505" s="26" t="s">
        <v>10</v>
      </c>
      <c r="C505" s="26" t="s">
        <v>13</v>
      </c>
      <c r="D505" s="26" t="s">
        <v>610</v>
      </c>
      <c r="E505" s="26" t="s">
        <v>67</v>
      </c>
      <c r="F505" s="26" t="s">
        <v>44</v>
      </c>
      <c r="G505" s="26" t="s">
        <v>194</v>
      </c>
      <c r="H505" s="26" t="s">
        <v>22</v>
      </c>
      <c r="I505" s="26" t="s">
        <v>641</v>
      </c>
      <c r="J505" s="26" t="s">
        <v>23</v>
      </c>
      <c r="K505" s="27" t="s">
        <v>142</v>
      </c>
      <c r="L505" s="26">
        <f>SUM(L506:L512)</f>
        <v>1767</v>
      </c>
      <c r="M505" s="26">
        <f t="shared" ref="M505" si="78">SUM(M506:M512)</f>
        <v>969</v>
      </c>
      <c r="N505" s="82">
        <f>M505*100/L505</f>
        <v>54.838709677419352</v>
      </c>
      <c r="O505" s="26">
        <f t="shared" ref="O505" si="79">SUM(O506:O512)</f>
        <v>1507</v>
      </c>
      <c r="P505" s="26">
        <f t="shared" ref="P505" si="80">SUM(P506:P512)</f>
        <v>218</v>
      </c>
      <c r="Q505" s="82">
        <f>P505*100/O505</f>
        <v>14.465826144658262</v>
      </c>
      <c r="R505" s="31">
        <v>28</v>
      </c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  <c r="BP505" s="45"/>
      <c r="BQ505" s="45"/>
      <c r="BR505" s="45"/>
      <c r="BS505" s="45"/>
      <c r="BT505" s="45"/>
      <c r="BU505" s="45"/>
      <c r="BV505" s="45"/>
      <c r="BW505" s="45"/>
      <c r="BX505" s="45"/>
      <c r="BY505" s="45"/>
      <c r="BZ505" s="45"/>
      <c r="CA505" s="45"/>
      <c r="CB505" s="45"/>
      <c r="CC505" s="45"/>
      <c r="CD505" s="45"/>
      <c r="CE505" s="45"/>
      <c r="CF505" s="45"/>
      <c r="CG505" s="45"/>
      <c r="CH505" s="45"/>
      <c r="CI505" s="45"/>
      <c r="CJ505" s="45"/>
      <c r="CK505" s="45"/>
      <c r="CL505" s="45"/>
      <c r="CM505" s="45"/>
      <c r="CN505" s="45"/>
      <c r="CO505" s="45"/>
      <c r="CP505" s="45"/>
      <c r="CQ505" s="45"/>
      <c r="CR505" s="45"/>
      <c r="CS505" s="45"/>
      <c r="CT505" s="45"/>
      <c r="CU505" s="45"/>
      <c r="CV505" s="45"/>
      <c r="CW505" s="45"/>
      <c r="CX505" s="45"/>
      <c r="CY505" s="45"/>
      <c r="CZ505" s="45"/>
      <c r="DA505" s="45"/>
      <c r="DB505" s="45"/>
      <c r="DC505" s="45"/>
      <c r="DD505" s="45"/>
      <c r="DE505" s="45"/>
      <c r="DF505" s="45"/>
      <c r="DG505" s="45"/>
      <c r="DH505" s="45"/>
      <c r="DI505" s="45"/>
      <c r="DJ505" s="45"/>
      <c r="DK505" s="45"/>
      <c r="DL505" s="45"/>
      <c r="DM505" s="45"/>
      <c r="DN505" s="45"/>
      <c r="DO505" s="45"/>
      <c r="DP505" s="45"/>
      <c r="DQ505" s="45"/>
      <c r="DR505" s="45"/>
      <c r="DS505" s="45"/>
      <c r="DT505" s="45"/>
      <c r="DU505" s="45"/>
      <c r="DV505" s="45"/>
      <c r="DW505" s="45"/>
      <c r="DX505" s="45"/>
      <c r="DY505" s="45"/>
      <c r="DZ505" s="45"/>
      <c r="EA505" s="45"/>
      <c r="EB505" s="45"/>
      <c r="EC505" s="45"/>
      <c r="ED505" s="45"/>
      <c r="EE505" s="45"/>
      <c r="EF505" s="45"/>
      <c r="EG505" s="45"/>
      <c r="EH505" s="45"/>
      <c r="EI505" s="45"/>
      <c r="EJ505" s="45"/>
      <c r="EK505" s="45"/>
      <c r="EL505" s="45"/>
      <c r="EM505" s="45"/>
      <c r="EN505" s="45"/>
      <c r="EO505" s="45"/>
      <c r="EP505" s="45"/>
      <c r="EQ505" s="45"/>
      <c r="ER505" s="45"/>
      <c r="ES505" s="45"/>
      <c r="ET505" s="45"/>
      <c r="EU505" s="45"/>
      <c r="EV505" s="45"/>
      <c r="EW505" s="45"/>
      <c r="EX505" s="45"/>
      <c r="EY505" s="45"/>
      <c r="EZ505" s="45"/>
      <c r="FA505" s="45"/>
      <c r="FB505" s="45"/>
      <c r="FC505" s="45"/>
      <c r="FD505" s="45"/>
      <c r="FE505" s="45"/>
      <c r="FF505" s="45"/>
      <c r="FG505" s="45"/>
      <c r="FH505" s="45"/>
      <c r="FI505" s="45"/>
      <c r="FJ505" s="45"/>
      <c r="FK505" s="45"/>
      <c r="FL505" s="45"/>
      <c r="FM505" s="45"/>
      <c r="FN505" s="45"/>
      <c r="FO505" s="45"/>
      <c r="FP505" s="45"/>
      <c r="FQ505" s="45"/>
      <c r="FR505" s="45"/>
      <c r="FS505" s="45"/>
      <c r="FT505" s="45"/>
      <c r="FU505" s="45"/>
      <c r="FV505" s="45"/>
      <c r="FW505" s="45"/>
      <c r="FX505" s="45"/>
      <c r="FY505" s="45"/>
      <c r="FZ505" s="45"/>
      <c r="GA505" s="45"/>
      <c r="GB505" s="45"/>
      <c r="GC505" s="45"/>
      <c r="GD505" s="45"/>
      <c r="GE505" s="45"/>
      <c r="GF505" s="45"/>
      <c r="GG505" s="45"/>
      <c r="GH505" s="45"/>
      <c r="GI505" s="45"/>
      <c r="GJ505" s="45"/>
      <c r="GK505" s="45"/>
      <c r="GL505" s="45"/>
      <c r="GM505" s="45"/>
      <c r="GN505" s="45"/>
      <c r="GO505" s="45"/>
      <c r="GP505" s="45"/>
      <c r="GQ505" s="45"/>
      <c r="GR505" s="45"/>
      <c r="GS505" s="45"/>
      <c r="GT505" s="45"/>
      <c r="GU505" s="45"/>
      <c r="GV505" s="45"/>
      <c r="GW505" s="45"/>
      <c r="GX505" s="45"/>
      <c r="GY505" s="45"/>
      <c r="GZ505" s="45"/>
      <c r="HA505" s="45"/>
      <c r="HB505" s="45"/>
      <c r="HC505" s="45"/>
      <c r="HD505" s="45"/>
      <c r="HE505" s="45"/>
      <c r="HF505" s="45"/>
      <c r="HG505" s="45"/>
      <c r="HH505" s="45"/>
      <c r="HI505" s="45"/>
      <c r="HJ505" s="45"/>
      <c r="HK505" s="45"/>
      <c r="HL505" s="45"/>
      <c r="HM505" s="45"/>
      <c r="HN505" s="45"/>
      <c r="HO505" s="45"/>
      <c r="HP505" s="45"/>
      <c r="HQ505" s="45"/>
      <c r="HR505" s="45"/>
      <c r="HS505" s="45"/>
      <c r="HT505" s="45"/>
      <c r="HU505" s="45"/>
      <c r="HV505" s="45"/>
      <c r="HW505" s="45"/>
      <c r="HX505" s="45"/>
      <c r="HY505" s="45"/>
    </row>
    <row r="506" spans="1:233" s="46" customFormat="1" ht="15" customHeight="1">
      <c r="A506" s="73" t="s">
        <v>44</v>
      </c>
      <c r="B506" s="26" t="s">
        <v>10</v>
      </c>
      <c r="C506" s="26" t="s">
        <v>13</v>
      </c>
      <c r="D506" s="26" t="s">
        <v>610</v>
      </c>
      <c r="E506" s="26" t="s">
        <v>67</v>
      </c>
      <c r="F506" s="26" t="s">
        <v>44</v>
      </c>
      <c r="G506" s="26" t="s">
        <v>194</v>
      </c>
      <c r="H506" s="26" t="s">
        <v>22</v>
      </c>
      <c r="I506" s="26" t="s">
        <v>641</v>
      </c>
      <c r="J506" s="26" t="s">
        <v>23</v>
      </c>
      <c r="K506" s="27" t="s">
        <v>24</v>
      </c>
      <c r="L506" s="26">
        <v>407</v>
      </c>
      <c r="M506" s="28">
        <v>152</v>
      </c>
      <c r="N506" s="82">
        <f>M506*100/L506</f>
        <v>37.346437346437348</v>
      </c>
      <c r="O506" s="28">
        <v>148</v>
      </c>
      <c r="P506" s="28">
        <v>1</v>
      </c>
      <c r="Q506" s="82">
        <f>P506*100/O506</f>
        <v>0.67567567567567566</v>
      </c>
      <c r="R506" s="31">
        <v>28</v>
      </c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  <c r="BP506" s="45"/>
      <c r="BQ506" s="45"/>
      <c r="BR506" s="45"/>
      <c r="BS506" s="45"/>
      <c r="BT506" s="45"/>
      <c r="BU506" s="45"/>
      <c r="BV506" s="45"/>
      <c r="BW506" s="45"/>
      <c r="BX506" s="45"/>
      <c r="BY506" s="45"/>
      <c r="BZ506" s="45"/>
      <c r="CA506" s="45"/>
      <c r="CB506" s="45"/>
      <c r="CC506" s="45"/>
      <c r="CD506" s="45"/>
      <c r="CE506" s="45"/>
      <c r="CF506" s="45"/>
      <c r="CG506" s="45"/>
      <c r="CH506" s="45"/>
      <c r="CI506" s="45"/>
      <c r="CJ506" s="45"/>
      <c r="CK506" s="45"/>
      <c r="CL506" s="45"/>
      <c r="CM506" s="45"/>
      <c r="CN506" s="45"/>
      <c r="CO506" s="45"/>
      <c r="CP506" s="45"/>
      <c r="CQ506" s="45"/>
      <c r="CR506" s="45"/>
      <c r="CS506" s="45"/>
      <c r="CT506" s="45"/>
      <c r="CU506" s="45"/>
      <c r="CV506" s="45"/>
      <c r="CW506" s="45"/>
      <c r="CX506" s="45"/>
      <c r="CY506" s="45"/>
      <c r="CZ506" s="45"/>
      <c r="DA506" s="45"/>
      <c r="DB506" s="45"/>
      <c r="DC506" s="45"/>
      <c r="DD506" s="45"/>
      <c r="DE506" s="45"/>
      <c r="DF506" s="45"/>
      <c r="DG506" s="45"/>
      <c r="DH506" s="45"/>
      <c r="DI506" s="45"/>
      <c r="DJ506" s="45"/>
      <c r="DK506" s="45"/>
      <c r="DL506" s="45"/>
      <c r="DM506" s="45"/>
      <c r="DN506" s="45"/>
      <c r="DO506" s="45"/>
      <c r="DP506" s="45"/>
      <c r="DQ506" s="45"/>
      <c r="DR506" s="45"/>
      <c r="DS506" s="45"/>
      <c r="DT506" s="45"/>
      <c r="DU506" s="45"/>
      <c r="DV506" s="45"/>
      <c r="DW506" s="45"/>
      <c r="DX506" s="45"/>
      <c r="DY506" s="45"/>
      <c r="DZ506" s="45"/>
      <c r="EA506" s="45"/>
      <c r="EB506" s="45"/>
      <c r="EC506" s="45"/>
      <c r="ED506" s="45"/>
      <c r="EE506" s="45"/>
      <c r="EF506" s="45"/>
      <c r="EG506" s="45"/>
      <c r="EH506" s="45"/>
      <c r="EI506" s="45"/>
      <c r="EJ506" s="45"/>
      <c r="EK506" s="45"/>
      <c r="EL506" s="45"/>
      <c r="EM506" s="45"/>
      <c r="EN506" s="45"/>
      <c r="EO506" s="45"/>
      <c r="EP506" s="45"/>
      <c r="EQ506" s="45"/>
      <c r="ER506" s="45"/>
      <c r="ES506" s="45"/>
      <c r="ET506" s="45"/>
      <c r="EU506" s="45"/>
      <c r="EV506" s="45"/>
      <c r="EW506" s="45"/>
      <c r="EX506" s="45"/>
      <c r="EY506" s="45"/>
      <c r="EZ506" s="45"/>
      <c r="FA506" s="45"/>
      <c r="FB506" s="45"/>
      <c r="FC506" s="45"/>
      <c r="FD506" s="45"/>
      <c r="FE506" s="45"/>
      <c r="FF506" s="45"/>
      <c r="FG506" s="45"/>
      <c r="FH506" s="45"/>
      <c r="FI506" s="45"/>
      <c r="FJ506" s="45"/>
      <c r="FK506" s="45"/>
      <c r="FL506" s="45"/>
      <c r="FM506" s="45"/>
      <c r="FN506" s="45"/>
      <c r="FO506" s="45"/>
      <c r="FP506" s="45"/>
      <c r="FQ506" s="45"/>
      <c r="FR506" s="45"/>
      <c r="FS506" s="45"/>
      <c r="FT506" s="45"/>
      <c r="FU506" s="45"/>
      <c r="FV506" s="45"/>
      <c r="FW506" s="45"/>
      <c r="FX506" s="45"/>
      <c r="FY506" s="45"/>
      <c r="FZ506" s="45"/>
      <c r="GA506" s="45"/>
      <c r="GB506" s="45"/>
      <c r="GC506" s="45"/>
      <c r="GD506" s="45"/>
      <c r="GE506" s="45"/>
      <c r="GF506" s="45"/>
      <c r="GG506" s="45"/>
      <c r="GH506" s="45"/>
      <c r="GI506" s="45"/>
      <c r="GJ506" s="45"/>
      <c r="GK506" s="45"/>
      <c r="GL506" s="45"/>
      <c r="GM506" s="45"/>
      <c r="GN506" s="45"/>
      <c r="GO506" s="45"/>
      <c r="GP506" s="45"/>
      <c r="GQ506" s="45"/>
      <c r="GR506" s="45"/>
      <c r="GS506" s="45"/>
      <c r="GT506" s="45"/>
      <c r="GU506" s="45"/>
      <c r="GV506" s="45"/>
      <c r="GW506" s="45"/>
      <c r="GX506" s="45"/>
      <c r="GY506" s="45"/>
      <c r="GZ506" s="45"/>
      <c r="HA506" s="45"/>
      <c r="HB506" s="45"/>
      <c r="HC506" s="45"/>
      <c r="HD506" s="45"/>
      <c r="HE506" s="45"/>
      <c r="HF506" s="45"/>
      <c r="HG506" s="45"/>
      <c r="HH506" s="45"/>
      <c r="HI506" s="45"/>
      <c r="HJ506" s="45"/>
      <c r="HK506" s="45"/>
      <c r="HL506" s="45"/>
      <c r="HM506" s="45"/>
      <c r="HN506" s="45"/>
      <c r="HO506" s="45"/>
      <c r="HP506" s="45"/>
      <c r="HQ506" s="45"/>
      <c r="HR506" s="45"/>
      <c r="HS506" s="45"/>
      <c r="HT506" s="45"/>
      <c r="HU506" s="45"/>
      <c r="HV506" s="45"/>
      <c r="HW506" s="45"/>
      <c r="HX506" s="45"/>
      <c r="HY506" s="45"/>
    </row>
    <row r="507" spans="1:233" s="46" customFormat="1" ht="15" customHeight="1">
      <c r="A507" s="73" t="s">
        <v>44</v>
      </c>
      <c r="B507" s="26" t="s">
        <v>10</v>
      </c>
      <c r="C507" s="26" t="s">
        <v>13</v>
      </c>
      <c r="D507" s="26" t="s">
        <v>610</v>
      </c>
      <c r="E507" s="26" t="s">
        <v>67</v>
      </c>
      <c r="F507" s="26" t="s">
        <v>44</v>
      </c>
      <c r="G507" s="26" t="s">
        <v>194</v>
      </c>
      <c r="H507" s="26" t="s">
        <v>22</v>
      </c>
      <c r="I507" s="26" t="s">
        <v>641</v>
      </c>
      <c r="J507" s="26" t="s">
        <v>23</v>
      </c>
      <c r="K507" s="27" t="s">
        <v>25</v>
      </c>
      <c r="L507" s="26">
        <v>236</v>
      </c>
      <c r="M507" s="28">
        <v>105</v>
      </c>
      <c r="N507" s="82">
        <f t="shared" ref="N507:N512" si="81">M507*100/L507</f>
        <v>44.491525423728817</v>
      </c>
      <c r="O507" s="28">
        <v>236</v>
      </c>
      <c r="P507" s="28">
        <v>6</v>
      </c>
      <c r="Q507" s="82">
        <f t="shared" ref="Q507:Q512" si="82">P507*100/O507</f>
        <v>2.5423728813559321</v>
      </c>
      <c r="R507" s="31">
        <v>28</v>
      </c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  <c r="BP507" s="45"/>
      <c r="BQ507" s="45"/>
      <c r="BR507" s="45"/>
      <c r="BS507" s="45"/>
      <c r="BT507" s="45"/>
      <c r="BU507" s="45"/>
      <c r="BV507" s="45"/>
      <c r="BW507" s="45"/>
      <c r="BX507" s="45"/>
      <c r="BY507" s="45"/>
      <c r="BZ507" s="45"/>
      <c r="CA507" s="45"/>
      <c r="CB507" s="45"/>
      <c r="CC507" s="45"/>
      <c r="CD507" s="45"/>
      <c r="CE507" s="45"/>
      <c r="CF507" s="45"/>
      <c r="CG507" s="45"/>
      <c r="CH507" s="45"/>
      <c r="CI507" s="45"/>
      <c r="CJ507" s="45"/>
      <c r="CK507" s="45"/>
      <c r="CL507" s="45"/>
      <c r="CM507" s="45"/>
      <c r="CN507" s="45"/>
      <c r="CO507" s="45"/>
      <c r="CP507" s="45"/>
      <c r="CQ507" s="45"/>
      <c r="CR507" s="45"/>
      <c r="CS507" s="45"/>
      <c r="CT507" s="45"/>
      <c r="CU507" s="45"/>
      <c r="CV507" s="45"/>
      <c r="CW507" s="45"/>
      <c r="CX507" s="45"/>
      <c r="CY507" s="45"/>
      <c r="CZ507" s="45"/>
      <c r="DA507" s="45"/>
      <c r="DB507" s="45"/>
      <c r="DC507" s="45"/>
      <c r="DD507" s="45"/>
      <c r="DE507" s="45"/>
      <c r="DF507" s="45"/>
      <c r="DG507" s="45"/>
      <c r="DH507" s="45"/>
      <c r="DI507" s="45"/>
      <c r="DJ507" s="45"/>
      <c r="DK507" s="45"/>
      <c r="DL507" s="45"/>
      <c r="DM507" s="45"/>
      <c r="DN507" s="45"/>
      <c r="DO507" s="45"/>
      <c r="DP507" s="45"/>
      <c r="DQ507" s="45"/>
      <c r="DR507" s="45"/>
      <c r="DS507" s="45"/>
      <c r="DT507" s="45"/>
      <c r="DU507" s="45"/>
      <c r="DV507" s="45"/>
      <c r="DW507" s="45"/>
      <c r="DX507" s="45"/>
      <c r="DY507" s="45"/>
      <c r="DZ507" s="45"/>
      <c r="EA507" s="45"/>
      <c r="EB507" s="45"/>
      <c r="EC507" s="45"/>
      <c r="ED507" s="45"/>
      <c r="EE507" s="45"/>
      <c r="EF507" s="45"/>
      <c r="EG507" s="45"/>
      <c r="EH507" s="45"/>
      <c r="EI507" s="45"/>
      <c r="EJ507" s="45"/>
      <c r="EK507" s="45"/>
      <c r="EL507" s="45"/>
      <c r="EM507" s="45"/>
      <c r="EN507" s="45"/>
      <c r="EO507" s="45"/>
      <c r="EP507" s="45"/>
      <c r="EQ507" s="45"/>
      <c r="ER507" s="45"/>
      <c r="ES507" s="45"/>
      <c r="ET507" s="45"/>
      <c r="EU507" s="45"/>
      <c r="EV507" s="45"/>
      <c r="EW507" s="45"/>
      <c r="EX507" s="45"/>
      <c r="EY507" s="45"/>
      <c r="EZ507" s="45"/>
      <c r="FA507" s="45"/>
      <c r="FB507" s="45"/>
      <c r="FC507" s="45"/>
      <c r="FD507" s="45"/>
      <c r="FE507" s="45"/>
      <c r="FF507" s="45"/>
      <c r="FG507" s="45"/>
      <c r="FH507" s="45"/>
      <c r="FI507" s="45"/>
      <c r="FJ507" s="45"/>
      <c r="FK507" s="45"/>
      <c r="FL507" s="45"/>
      <c r="FM507" s="45"/>
      <c r="FN507" s="45"/>
      <c r="FO507" s="45"/>
      <c r="FP507" s="45"/>
      <c r="FQ507" s="45"/>
      <c r="FR507" s="45"/>
      <c r="FS507" s="45"/>
      <c r="FT507" s="45"/>
      <c r="FU507" s="45"/>
      <c r="FV507" s="45"/>
      <c r="FW507" s="45"/>
      <c r="FX507" s="45"/>
      <c r="FY507" s="45"/>
      <c r="FZ507" s="45"/>
      <c r="GA507" s="45"/>
      <c r="GB507" s="45"/>
      <c r="GC507" s="45"/>
      <c r="GD507" s="45"/>
      <c r="GE507" s="45"/>
      <c r="GF507" s="45"/>
      <c r="GG507" s="45"/>
      <c r="GH507" s="45"/>
      <c r="GI507" s="45"/>
      <c r="GJ507" s="45"/>
      <c r="GK507" s="45"/>
      <c r="GL507" s="45"/>
      <c r="GM507" s="45"/>
      <c r="GN507" s="45"/>
      <c r="GO507" s="45"/>
      <c r="GP507" s="45"/>
      <c r="GQ507" s="45"/>
      <c r="GR507" s="45"/>
      <c r="GS507" s="45"/>
      <c r="GT507" s="45"/>
      <c r="GU507" s="45"/>
      <c r="GV507" s="45"/>
      <c r="GW507" s="45"/>
      <c r="GX507" s="45"/>
      <c r="GY507" s="45"/>
      <c r="GZ507" s="45"/>
      <c r="HA507" s="45"/>
      <c r="HB507" s="45"/>
      <c r="HC507" s="45"/>
      <c r="HD507" s="45"/>
      <c r="HE507" s="45"/>
      <c r="HF507" s="45"/>
      <c r="HG507" s="45"/>
      <c r="HH507" s="45"/>
      <c r="HI507" s="45"/>
      <c r="HJ507" s="45"/>
      <c r="HK507" s="45"/>
      <c r="HL507" s="45"/>
      <c r="HM507" s="45"/>
      <c r="HN507" s="45"/>
      <c r="HO507" s="45"/>
      <c r="HP507" s="45"/>
      <c r="HQ507" s="45"/>
      <c r="HR507" s="45"/>
      <c r="HS507" s="45"/>
      <c r="HT507" s="45"/>
      <c r="HU507" s="45"/>
      <c r="HV507" s="45"/>
      <c r="HW507" s="45"/>
      <c r="HX507" s="45"/>
      <c r="HY507" s="45"/>
    </row>
    <row r="508" spans="1:233" s="46" customFormat="1" ht="15" customHeight="1">
      <c r="A508" s="73" t="s">
        <v>44</v>
      </c>
      <c r="B508" s="26" t="s">
        <v>10</v>
      </c>
      <c r="C508" s="26" t="s">
        <v>13</v>
      </c>
      <c r="D508" s="26" t="s">
        <v>610</v>
      </c>
      <c r="E508" s="26" t="s">
        <v>67</v>
      </c>
      <c r="F508" s="26" t="s">
        <v>44</v>
      </c>
      <c r="G508" s="26" t="s">
        <v>194</v>
      </c>
      <c r="H508" s="26" t="s">
        <v>22</v>
      </c>
      <c r="I508" s="26" t="s">
        <v>641</v>
      </c>
      <c r="J508" s="26" t="s">
        <v>23</v>
      </c>
      <c r="K508" s="27" t="s">
        <v>26</v>
      </c>
      <c r="L508" s="26">
        <v>203</v>
      </c>
      <c r="M508" s="28">
        <v>109</v>
      </c>
      <c r="N508" s="82">
        <f t="shared" si="81"/>
        <v>53.694581280788178</v>
      </c>
      <c r="O508" s="28">
        <v>203</v>
      </c>
      <c r="P508" s="28">
        <v>22</v>
      </c>
      <c r="Q508" s="82">
        <f t="shared" si="82"/>
        <v>10.83743842364532</v>
      </c>
      <c r="R508" s="31">
        <v>28</v>
      </c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  <c r="BP508" s="45"/>
      <c r="BQ508" s="45"/>
      <c r="BR508" s="45"/>
      <c r="BS508" s="45"/>
      <c r="BT508" s="45"/>
      <c r="BU508" s="45"/>
      <c r="BV508" s="45"/>
      <c r="BW508" s="45"/>
      <c r="BX508" s="45"/>
      <c r="BY508" s="45"/>
      <c r="BZ508" s="45"/>
      <c r="CA508" s="45"/>
      <c r="CB508" s="45"/>
      <c r="CC508" s="45"/>
      <c r="CD508" s="45"/>
      <c r="CE508" s="45"/>
      <c r="CF508" s="45"/>
      <c r="CG508" s="45"/>
      <c r="CH508" s="45"/>
      <c r="CI508" s="45"/>
      <c r="CJ508" s="45"/>
      <c r="CK508" s="45"/>
      <c r="CL508" s="45"/>
      <c r="CM508" s="45"/>
      <c r="CN508" s="45"/>
      <c r="CO508" s="45"/>
      <c r="CP508" s="45"/>
      <c r="CQ508" s="45"/>
      <c r="CR508" s="45"/>
      <c r="CS508" s="45"/>
      <c r="CT508" s="45"/>
      <c r="CU508" s="45"/>
      <c r="CV508" s="45"/>
      <c r="CW508" s="45"/>
      <c r="CX508" s="45"/>
      <c r="CY508" s="45"/>
      <c r="CZ508" s="45"/>
      <c r="DA508" s="45"/>
      <c r="DB508" s="45"/>
      <c r="DC508" s="45"/>
      <c r="DD508" s="45"/>
      <c r="DE508" s="45"/>
      <c r="DF508" s="45"/>
      <c r="DG508" s="45"/>
      <c r="DH508" s="45"/>
      <c r="DI508" s="45"/>
      <c r="DJ508" s="45"/>
      <c r="DK508" s="45"/>
      <c r="DL508" s="45"/>
      <c r="DM508" s="45"/>
      <c r="DN508" s="45"/>
      <c r="DO508" s="45"/>
      <c r="DP508" s="45"/>
      <c r="DQ508" s="45"/>
      <c r="DR508" s="45"/>
      <c r="DS508" s="45"/>
      <c r="DT508" s="45"/>
      <c r="DU508" s="45"/>
      <c r="DV508" s="45"/>
      <c r="DW508" s="45"/>
      <c r="DX508" s="45"/>
      <c r="DY508" s="45"/>
      <c r="DZ508" s="45"/>
      <c r="EA508" s="45"/>
      <c r="EB508" s="45"/>
      <c r="EC508" s="45"/>
      <c r="ED508" s="45"/>
      <c r="EE508" s="45"/>
      <c r="EF508" s="45"/>
      <c r="EG508" s="45"/>
      <c r="EH508" s="45"/>
      <c r="EI508" s="45"/>
      <c r="EJ508" s="45"/>
      <c r="EK508" s="45"/>
      <c r="EL508" s="45"/>
      <c r="EM508" s="45"/>
      <c r="EN508" s="45"/>
      <c r="EO508" s="45"/>
      <c r="EP508" s="45"/>
      <c r="EQ508" s="45"/>
      <c r="ER508" s="45"/>
      <c r="ES508" s="45"/>
      <c r="ET508" s="45"/>
      <c r="EU508" s="45"/>
      <c r="EV508" s="45"/>
      <c r="EW508" s="45"/>
      <c r="EX508" s="45"/>
      <c r="EY508" s="45"/>
      <c r="EZ508" s="45"/>
      <c r="FA508" s="45"/>
      <c r="FB508" s="45"/>
      <c r="FC508" s="45"/>
      <c r="FD508" s="45"/>
      <c r="FE508" s="45"/>
      <c r="FF508" s="45"/>
      <c r="FG508" s="45"/>
      <c r="FH508" s="45"/>
      <c r="FI508" s="45"/>
      <c r="FJ508" s="45"/>
      <c r="FK508" s="45"/>
      <c r="FL508" s="45"/>
      <c r="FM508" s="45"/>
      <c r="FN508" s="45"/>
      <c r="FO508" s="45"/>
      <c r="FP508" s="45"/>
      <c r="FQ508" s="45"/>
      <c r="FR508" s="45"/>
      <c r="FS508" s="45"/>
      <c r="FT508" s="45"/>
      <c r="FU508" s="45"/>
      <c r="FV508" s="45"/>
      <c r="FW508" s="45"/>
      <c r="FX508" s="45"/>
      <c r="FY508" s="45"/>
      <c r="FZ508" s="45"/>
      <c r="GA508" s="45"/>
      <c r="GB508" s="45"/>
      <c r="GC508" s="45"/>
      <c r="GD508" s="45"/>
      <c r="GE508" s="45"/>
      <c r="GF508" s="45"/>
      <c r="GG508" s="45"/>
      <c r="GH508" s="45"/>
      <c r="GI508" s="45"/>
      <c r="GJ508" s="45"/>
      <c r="GK508" s="45"/>
      <c r="GL508" s="45"/>
      <c r="GM508" s="45"/>
      <c r="GN508" s="45"/>
      <c r="GO508" s="45"/>
      <c r="GP508" s="45"/>
      <c r="GQ508" s="45"/>
      <c r="GR508" s="45"/>
      <c r="GS508" s="45"/>
      <c r="GT508" s="45"/>
      <c r="GU508" s="45"/>
      <c r="GV508" s="45"/>
      <c r="GW508" s="45"/>
      <c r="GX508" s="45"/>
      <c r="GY508" s="45"/>
      <c r="GZ508" s="45"/>
      <c r="HA508" s="45"/>
      <c r="HB508" s="45"/>
      <c r="HC508" s="45"/>
      <c r="HD508" s="45"/>
      <c r="HE508" s="45"/>
      <c r="HF508" s="45"/>
      <c r="HG508" s="45"/>
      <c r="HH508" s="45"/>
      <c r="HI508" s="45"/>
      <c r="HJ508" s="45"/>
      <c r="HK508" s="45"/>
      <c r="HL508" s="45"/>
      <c r="HM508" s="45"/>
      <c r="HN508" s="45"/>
      <c r="HO508" s="45"/>
      <c r="HP508" s="45"/>
      <c r="HQ508" s="45"/>
      <c r="HR508" s="45"/>
      <c r="HS508" s="45"/>
      <c r="HT508" s="45"/>
      <c r="HU508" s="45"/>
      <c r="HV508" s="45"/>
      <c r="HW508" s="45"/>
      <c r="HX508" s="45"/>
      <c r="HY508" s="45"/>
    </row>
    <row r="509" spans="1:233" s="46" customFormat="1" ht="15" customHeight="1">
      <c r="A509" s="73" t="s">
        <v>44</v>
      </c>
      <c r="B509" s="26" t="s">
        <v>10</v>
      </c>
      <c r="C509" s="26" t="s">
        <v>13</v>
      </c>
      <c r="D509" s="26" t="s">
        <v>610</v>
      </c>
      <c r="E509" s="26" t="s">
        <v>67</v>
      </c>
      <c r="F509" s="26" t="s">
        <v>44</v>
      </c>
      <c r="G509" s="26" t="s">
        <v>194</v>
      </c>
      <c r="H509" s="26" t="s">
        <v>22</v>
      </c>
      <c r="I509" s="26" t="s">
        <v>641</v>
      </c>
      <c r="J509" s="26" t="s">
        <v>23</v>
      </c>
      <c r="K509" s="27" t="s">
        <v>27</v>
      </c>
      <c r="L509" s="26">
        <v>216</v>
      </c>
      <c r="M509" s="28">
        <v>119</v>
      </c>
      <c r="N509" s="82">
        <f t="shared" si="81"/>
        <v>55.092592592592595</v>
      </c>
      <c r="O509" s="28">
        <v>216</v>
      </c>
      <c r="P509" s="28">
        <v>35</v>
      </c>
      <c r="Q509" s="82">
        <f t="shared" si="82"/>
        <v>16.203703703703702</v>
      </c>
      <c r="R509" s="31">
        <v>28</v>
      </c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  <c r="BP509" s="45"/>
      <c r="BQ509" s="45"/>
      <c r="BR509" s="45"/>
      <c r="BS509" s="45"/>
      <c r="BT509" s="45"/>
      <c r="BU509" s="45"/>
      <c r="BV509" s="45"/>
      <c r="BW509" s="45"/>
      <c r="BX509" s="45"/>
      <c r="BY509" s="45"/>
      <c r="BZ509" s="45"/>
      <c r="CA509" s="45"/>
      <c r="CB509" s="45"/>
      <c r="CC509" s="45"/>
      <c r="CD509" s="45"/>
      <c r="CE509" s="45"/>
      <c r="CF509" s="45"/>
      <c r="CG509" s="45"/>
      <c r="CH509" s="45"/>
      <c r="CI509" s="45"/>
      <c r="CJ509" s="45"/>
      <c r="CK509" s="45"/>
      <c r="CL509" s="45"/>
      <c r="CM509" s="45"/>
      <c r="CN509" s="45"/>
      <c r="CO509" s="45"/>
      <c r="CP509" s="45"/>
      <c r="CQ509" s="45"/>
      <c r="CR509" s="45"/>
      <c r="CS509" s="45"/>
      <c r="CT509" s="45"/>
      <c r="CU509" s="45"/>
      <c r="CV509" s="45"/>
      <c r="CW509" s="45"/>
      <c r="CX509" s="45"/>
      <c r="CY509" s="45"/>
      <c r="CZ509" s="45"/>
      <c r="DA509" s="45"/>
      <c r="DB509" s="45"/>
      <c r="DC509" s="45"/>
      <c r="DD509" s="45"/>
      <c r="DE509" s="45"/>
      <c r="DF509" s="45"/>
      <c r="DG509" s="45"/>
      <c r="DH509" s="45"/>
      <c r="DI509" s="45"/>
      <c r="DJ509" s="45"/>
      <c r="DK509" s="45"/>
      <c r="DL509" s="45"/>
      <c r="DM509" s="45"/>
      <c r="DN509" s="45"/>
      <c r="DO509" s="45"/>
      <c r="DP509" s="45"/>
      <c r="DQ509" s="45"/>
      <c r="DR509" s="45"/>
      <c r="DS509" s="45"/>
      <c r="DT509" s="45"/>
      <c r="DU509" s="45"/>
      <c r="DV509" s="45"/>
      <c r="DW509" s="45"/>
      <c r="DX509" s="45"/>
      <c r="DY509" s="45"/>
      <c r="DZ509" s="45"/>
      <c r="EA509" s="45"/>
      <c r="EB509" s="45"/>
      <c r="EC509" s="45"/>
      <c r="ED509" s="45"/>
      <c r="EE509" s="45"/>
      <c r="EF509" s="45"/>
      <c r="EG509" s="45"/>
      <c r="EH509" s="45"/>
      <c r="EI509" s="45"/>
      <c r="EJ509" s="45"/>
      <c r="EK509" s="45"/>
      <c r="EL509" s="45"/>
      <c r="EM509" s="45"/>
      <c r="EN509" s="45"/>
      <c r="EO509" s="45"/>
      <c r="EP509" s="45"/>
      <c r="EQ509" s="45"/>
      <c r="ER509" s="45"/>
      <c r="ES509" s="45"/>
      <c r="ET509" s="45"/>
      <c r="EU509" s="45"/>
      <c r="EV509" s="45"/>
      <c r="EW509" s="45"/>
      <c r="EX509" s="45"/>
      <c r="EY509" s="45"/>
      <c r="EZ509" s="45"/>
      <c r="FA509" s="45"/>
      <c r="FB509" s="45"/>
      <c r="FC509" s="45"/>
      <c r="FD509" s="45"/>
      <c r="FE509" s="45"/>
      <c r="FF509" s="45"/>
      <c r="FG509" s="45"/>
      <c r="FH509" s="45"/>
      <c r="FI509" s="45"/>
      <c r="FJ509" s="45"/>
      <c r="FK509" s="45"/>
      <c r="FL509" s="45"/>
      <c r="FM509" s="45"/>
      <c r="FN509" s="45"/>
      <c r="FO509" s="45"/>
      <c r="FP509" s="45"/>
      <c r="FQ509" s="45"/>
      <c r="FR509" s="45"/>
      <c r="FS509" s="45"/>
      <c r="FT509" s="45"/>
      <c r="FU509" s="45"/>
      <c r="FV509" s="45"/>
      <c r="FW509" s="45"/>
      <c r="FX509" s="45"/>
      <c r="FY509" s="45"/>
      <c r="FZ509" s="45"/>
      <c r="GA509" s="45"/>
      <c r="GB509" s="45"/>
      <c r="GC509" s="45"/>
      <c r="GD509" s="45"/>
      <c r="GE509" s="45"/>
      <c r="GF509" s="45"/>
      <c r="GG509" s="45"/>
      <c r="GH509" s="45"/>
      <c r="GI509" s="45"/>
      <c r="GJ509" s="45"/>
      <c r="GK509" s="45"/>
      <c r="GL509" s="45"/>
      <c r="GM509" s="45"/>
      <c r="GN509" s="45"/>
      <c r="GO509" s="45"/>
      <c r="GP509" s="45"/>
      <c r="GQ509" s="45"/>
      <c r="GR509" s="45"/>
      <c r="GS509" s="45"/>
      <c r="GT509" s="45"/>
      <c r="GU509" s="45"/>
      <c r="GV509" s="45"/>
      <c r="GW509" s="45"/>
      <c r="GX509" s="45"/>
      <c r="GY509" s="45"/>
      <c r="GZ509" s="45"/>
      <c r="HA509" s="45"/>
      <c r="HB509" s="45"/>
      <c r="HC509" s="45"/>
      <c r="HD509" s="45"/>
      <c r="HE509" s="45"/>
      <c r="HF509" s="45"/>
      <c r="HG509" s="45"/>
      <c r="HH509" s="45"/>
      <c r="HI509" s="45"/>
      <c r="HJ509" s="45"/>
      <c r="HK509" s="45"/>
      <c r="HL509" s="45"/>
      <c r="HM509" s="45"/>
      <c r="HN509" s="45"/>
      <c r="HO509" s="45"/>
      <c r="HP509" s="45"/>
      <c r="HQ509" s="45"/>
      <c r="HR509" s="45"/>
      <c r="HS509" s="45"/>
      <c r="HT509" s="45"/>
      <c r="HU509" s="45"/>
      <c r="HV509" s="45"/>
      <c r="HW509" s="45"/>
      <c r="HX509" s="45"/>
      <c r="HY509" s="45"/>
    </row>
    <row r="510" spans="1:233" s="46" customFormat="1" ht="15" customHeight="1">
      <c r="A510" s="73" t="s">
        <v>44</v>
      </c>
      <c r="B510" s="26" t="s">
        <v>10</v>
      </c>
      <c r="C510" s="26" t="s">
        <v>13</v>
      </c>
      <c r="D510" s="26" t="s">
        <v>610</v>
      </c>
      <c r="E510" s="26" t="s">
        <v>67</v>
      </c>
      <c r="F510" s="26" t="s">
        <v>44</v>
      </c>
      <c r="G510" s="26" t="s">
        <v>194</v>
      </c>
      <c r="H510" s="26" t="s">
        <v>22</v>
      </c>
      <c r="I510" s="26" t="s">
        <v>641</v>
      </c>
      <c r="J510" s="26" t="s">
        <v>23</v>
      </c>
      <c r="K510" s="27" t="s">
        <v>28</v>
      </c>
      <c r="L510" s="26">
        <v>223</v>
      </c>
      <c r="M510" s="28">
        <v>139</v>
      </c>
      <c r="N510" s="82">
        <f t="shared" si="81"/>
        <v>62.331838565022423</v>
      </c>
      <c r="O510" s="28">
        <v>222</v>
      </c>
      <c r="P510" s="28">
        <v>35</v>
      </c>
      <c r="Q510" s="82">
        <f t="shared" si="82"/>
        <v>15.765765765765765</v>
      </c>
      <c r="R510" s="31">
        <v>28</v>
      </c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  <c r="BP510" s="45"/>
      <c r="BQ510" s="45"/>
      <c r="BR510" s="45"/>
      <c r="BS510" s="45"/>
      <c r="BT510" s="45"/>
      <c r="BU510" s="45"/>
      <c r="BV510" s="45"/>
      <c r="BW510" s="45"/>
      <c r="BX510" s="45"/>
      <c r="BY510" s="45"/>
      <c r="BZ510" s="45"/>
      <c r="CA510" s="45"/>
      <c r="CB510" s="45"/>
      <c r="CC510" s="45"/>
      <c r="CD510" s="45"/>
      <c r="CE510" s="45"/>
      <c r="CF510" s="45"/>
      <c r="CG510" s="45"/>
      <c r="CH510" s="45"/>
      <c r="CI510" s="45"/>
      <c r="CJ510" s="45"/>
      <c r="CK510" s="45"/>
      <c r="CL510" s="45"/>
      <c r="CM510" s="45"/>
      <c r="CN510" s="45"/>
      <c r="CO510" s="45"/>
      <c r="CP510" s="45"/>
      <c r="CQ510" s="45"/>
      <c r="CR510" s="45"/>
      <c r="CS510" s="45"/>
      <c r="CT510" s="45"/>
      <c r="CU510" s="45"/>
      <c r="CV510" s="45"/>
      <c r="CW510" s="45"/>
      <c r="CX510" s="45"/>
      <c r="CY510" s="45"/>
      <c r="CZ510" s="45"/>
      <c r="DA510" s="45"/>
      <c r="DB510" s="45"/>
      <c r="DC510" s="45"/>
      <c r="DD510" s="45"/>
      <c r="DE510" s="45"/>
      <c r="DF510" s="45"/>
      <c r="DG510" s="45"/>
      <c r="DH510" s="45"/>
      <c r="DI510" s="45"/>
      <c r="DJ510" s="45"/>
      <c r="DK510" s="45"/>
      <c r="DL510" s="45"/>
      <c r="DM510" s="45"/>
      <c r="DN510" s="45"/>
      <c r="DO510" s="45"/>
      <c r="DP510" s="45"/>
      <c r="DQ510" s="45"/>
      <c r="DR510" s="45"/>
      <c r="DS510" s="45"/>
      <c r="DT510" s="45"/>
      <c r="DU510" s="45"/>
      <c r="DV510" s="45"/>
      <c r="DW510" s="45"/>
      <c r="DX510" s="45"/>
      <c r="DY510" s="45"/>
      <c r="DZ510" s="45"/>
      <c r="EA510" s="45"/>
      <c r="EB510" s="45"/>
      <c r="EC510" s="45"/>
      <c r="ED510" s="45"/>
      <c r="EE510" s="45"/>
      <c r="EF510" s="45"/>
      <c r="EG510" s="45"/>
      <c r="EH510" s="45"/>
      <c r="EI510" s="45"/>
      <c r="EJ510" s="45"/>
      <c r="EK510" s="45"/>
      <c r="EL510" s="45"/>
      <c r="EM510" s="45"/>
      <c r="EN510" s="45"/>
      <c r="EO510" s="45"/>
      <c r="EP510" s="45"/>
      <c r="EQ510" s="45"/>
      <c r="ER510" s="45"/>
      <c r="ES510" s="45"/>
      <c r="ET510" s="45"/>
      <c r="EU510" s="45"/>
      <c r="EV510" s="45"/>
      <c r="EW510" s="45"/>
      <c r="EX510" s="45"/>
      <c r="EY510" s="45"/>
      <c r="EZ510" s="45"/>
      <c r="FA510" s="45"/>
      <c r="FB510" s="45"/>
      <c r="FC510" s="45"/>
      <c r="FD510" s="45"/>
      <c r="FE510" s="45"/>
      <c r="FF510" s="45"/>
      <c r="FG510" s="45"/>
      <c r="FH510" s="45"/>
      <c r="FI510" s="45"/>
      <c r="FJ510" s="45"/>
      <c r="FK510" s="45"/>
      <c r="FL510" s="45"/>
      <c r="FM510" s="45"/>
      <c r="FN510" s="45"/>
      <c r="FO510" s="45"/>
      <c r="FP510" s="45"/>
      <c r="FQ510" s="45"/>
      <c r="FR510" s="45"/>
      <c r="FS510" s="45"/>
      <c r="FT510" s="45"/>
      <c r="FU510" s="45"/>
      <c r="FV510" s="45"/>
      <c r="FW510" s="45"/>
      <c r="FX510" s="45"/>
      <c r="FY510" s="45"/>
      <c r="FZ510" s="45"/>
      <c r="GA510" s="45"/>
      <c r="GB510" s="45"/>
      <c r="GC510" s="45"/>
      <c r="GD510" s="45"/>
      <c r="GE510" s="45"/>
      <c r="GF510" s="45"/>
      <c r="GG510" s="45"/>
      <c r="GH510" s="45"/>
      <c r="GI510" s="45"/>
      <c r="GJ510" s="45"/>
      <c r="GK510" s="45"/>
      <c r="GL510" s="45"/>
      <c r="GM510" s="45"/>
      <c r="GN510" s="45"/>
      <c r="GO510" s="45"/>
      <c r="GP510" s="45"/>
      <c r="GQ510" s="45"/>
      <c r="GR510" s="45"/>
      <c r="GS510" s="45"/>
      <c r="GT510" s="45"/>
      <c r="GU510" s="45"/>
      <c r="GV510" s="45"/>
      <c r="GW510" s="45"/>
      <c r="GX510" s="45"/>
      <c r="GY510" s="45"/>
      <c r="GZ510" s="45"/>
      <c r="HA510" s="45"/>
      <c r="HB510" s="45"/>
      <c r="HC510" s="45"/>
      <c r="HD510" s="45"/>
      <c r="HE510" s="45"/>
      <c r="HF510" s="45"/>
      <c r="HG510" s="45"/>
      <c r="HH510" s="45"/>
      <c r="HI510" s="45"/>
      <c r="HJ510" s="45"/>
      <c r="HK510" s="45"/>
      <c r="HL510" s="45"/>
      <c r="HM510" s="45"/>
      <c r="HN510" s="45"/>
      <c r="HO510" s="45"/>
      <c r="HP510" s="45"/>
      <c r="HQ510" s="45"/>
      <c r="HR510" s="45"/>
      <c r="HS510" s="45"/>
      <c r="HT510" s="45"/>
      <c r="HU510" s="45"/>
      <c r="HV510" s="45"/>
      <c r="HW510" s="45"/>
      <c r="HX510" s="45"/>
      <c r="HY510" s="45"/>
    </row>
    <row r="511" spans="1:233" s="46" customFormat="1" ht="15" customHeight="1">
      <c r="A511" s="73" t="s">
        <v>44</v>
      </c>
      <c r="B511" s="26" t="s">
        <v>10</v>
      </c>
      <c r="C511" s="26" t="s">
        <v>13</v>
      </c>
      <c r="D511" s="26" t="s">
        <v>610</v>
      </c>
      <c r="E511" s="26" t="s">
        <v>67</v>
      </c>
      <c r="F511" s="26" t="s">
        <v>44</v>
      </c>
      <c r="G511" s="26" t="s">
        <v>194</v>
      </c>
      <c r="H511" s="26" t="s">
        <v>22</v>
      </c>
      <c r="I511" s="26" t="s">
        <v>641</v>
      </c>
      <c r="J511" s="26" t="s">
        <v>23</v>
      </c>
      <c r="K511" s="27" t="s">
        <v>72</v>
      </c>
      <c r="L511" s="26">
        <v>244</v>
      </c>
      <c r="M511" s="28">
        <v>174</v>
      </c>
      <c r="N511" s="82">
        <f t="shared" si="81"/>
        <v>71.311475409836063</v>
      </c>
      <c r="O511" s="28">
        <v>244</v>
      </c>
      <c r="P511" s="28">
        <v>62</v>
      </c>
      <c r="Q511" s="82">
        <f t="shared" si="82"/>
        <v>25.409836065573771</v>
      </c>
      <c r="R511" s="31">
        <v>28</v>
      </c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  <c r="BP511" s="45"/>
      <c r="BQ511" s="45"/>
      <c r="BR511" s="45"/>
      <c r="BS511" s="45"/>
      <c r="BT511" s="45"/>
      <c r="BU511" s="45"/>
      <c r="BV511" s="45"/>
      <c r="BW511" s="45"/>
      <c r="BX511" s="45"/>
      <c r="BY511" s="45"/>
      <c r="BZ511" s="45"/>
      <c r="CA511" s="45"/>
      <c r="CB511" s="45"/>
      <c r="CC511" s="45"/>
      <c r="CD511" s="45"/>
      <c r="CE511" s="45"/>
      <c r="CF511" s="45"/>
      <c r="CG511" s="45"/>
      <c r="CH511" s="45"/>
      <c r="CI511" s="45"/>
      <c r="CJ511" s="45"/>
      <c r="CK511" s="45"/>
      <c r="CL511" s="45"/>
      <c r="CM511" s="45"/>
      <c r="CN511" s="45"/>
      <c r="CO511" s="45"/>
      <c r="CP511" s="45"/>
      <c r="CQ511" s="45"/>
      <c r="CR511" s="45"/>
      <c r="CS511" s="45"/>
      <c r="CT511" s="45"/>
      <c r="CU511" s="45"/>
      <c r="CV511" s="45"/>
      <c r="CW511" s="45"/>
      <c r="CX511" s="45"/>
      <c r="CY511" s="45"/>
      <c r="CZ511" s="45"/>
      <c r="DA511" s="45"/>
      <c r="DB511" s="45"/>
      <c r="DC511" s="45"/>
      <c r="DD511" s="45"/>
      <c r="DE511" s="45"/>
      <c r="DF511" s="45"/>
      <c r="DG511" s="45"/>
      <c r="DH511" s="45"/>
      <c r="DI511" s="45"/>
      <c r="DJ511" s="45"/>
      <c r="DK511" s="45"/>
      <c r="DL511" s="45"/>
      <c r="DM511" s="45"/>
      <c r="DN511" s="45"/>
      <c r="DO511" s="45"/>
      <c r="DP511" s="45"/>
      <c r="DQ511" s="45"/>
      <c r="DR511" s="45"/>
      <c r="DS511" s="45"/>
      <c r="DT511" s="45"/>
      <c r="DU511" s="45"/>
      <c r="DV511" s="45"/>
      <c r="DW511" s="45"/>
      <c r="DX511" s="45"/>
      <c r="DY511" s="45"/>
      <c r="DZ511" s="45"/>
      <c r="EA511" s="45"/>
      <c r="EB511" s="45"/>
      <c r="EC511" s="45"/>
      <c r="ED511" s="45"/>
      <c r="EE511" s="45"/>
      <c r="EF511" s="45"/>
      <c r="EG511" s="45"/>
      <c r="EH511" s="45"/>
      <c r="EI511" s="45"/>
      <c r="EJ511" s="45"/>
      <c r="EK511" s="45"/>
      <c r="EL511" s="45"/>
      <c r="EM511" s="45"/>
      <c r="EN511" s="45"/>
      <c r="EO511" s="45"/>
      <c r="EP511" s="45"/>
      <c r="EQ511" s="45"/>
      <c r="ER511" s="45"/>
      <c r="ES511" s="45"/>
      <c r="ET511" s="45"/>
      <c r="EU511" s="45"/>
      <c r="EV511" s="45"/>
      <c r="EW511" s="45"/>
      <c r="EX511" s="45"/>
      <c r="EY511" s="45"/>
      <c r="EZ511" s="45"/>
      <c r="FA511" s="45"/>
      <c r="FB511" s="45"/>
      <c r="FC511" s="45"/>
      <c r="FD511" s="45"/>
      <c r="FE511" s="45"/>
      <c r="FF511" s="45"/>
      <c r="FG511" s="45"/>
      <c r="FH511" s="45"/>
      <c r="FI511" s="45"/>
      <c r="FJ511" s="45"/>
      <c r="FK511" s="45"/>
      <c r="FL511" s="45"/>
      <c r="FM511" s="45"/>
      <c r="FN511" s="45"/>
      <c r="FO511" s="45"/>
      <c r="FP511" s="45"/>
      <c r="FQ511" s="45"/>
      <c r="FR511" s="45"/>
      <c r="FS511" s="45"/>
      <c r="FT511" s="45"/>
      <c r="FU511" s="45"/>
      <c r="FV511" s="45"/>
      <c r="FW511" s="45"/>
      <c r="FX511" s="45"/>
      <c r="FY511" s="45"/>
      <c r="FZ511" s="45"/>
      <c r="GA511" s="45"/>
      <c r="GB511" s="45"/>
      <c r="GC511" s="45"/>
      <c r="GD511" s="45"/>
      <c r="GE511" s="45"/>
      <c r="GF511" s="45"/>
      <c r="GG511" s="45"/>
      <c r="GH511" s="45"/>
      <c r="GI511" s="45"/>
      <c r="GJ511" s="45"/>
      <c r="GK511" s="45"/>
      <c r="GL511" s="45"/>
      <c r="GM511" s="45"/>
      <c r="GN511" s="45"/>
      <c r="GO511" s="45"/>
      <c r="GP511" s="45"/>
      <c r="GQ511" s="45"/>
      <c r="GR511" s="45"/>
      <c r="GS511" s="45"/>
      <c r="GT511" s="45"/>
      <c r="GU511" s="45"/>
      <c r="GV511" s="45"/>
      <c r="GW511" s="45"/>
      <c r="GX511" s="45"/>
      <c r="GY511" s="45"/>
      <c r="GZ511" s="45"/>
      <c r="HA511" s="45"/>
      <c r="HB511" s="45"/>
      <c r="HC511" s="45"/>
      <c r="HD511" s="45"/>
      <c r="HE511" s="45"/>
      <c r="HF511" s="45"/>
      <c r="HG511" s="45"/>
      <c r="HH511" s="45"/>
      <c r="HI511" s="45"/>
      <c r="HJ511" s="45"/>
      <c r="HK511" s="45"/>
      <c r="HL511" s="45"/>
      <c r="HM511" s="45"/>
      <c r="HN511" s="45"/>
      <c r="HO511" s="45"/>
      <c r="HP511" s="45"/>
      <c r="HQ511" s="45"/>
      <c r="HR511" s="45"/>
      <c r="HS511" s="45"/>
      <c r="HT511" s="45"/>
      <c r="HU511" s="45"/>
      <c r="HV511" s="45"/>
      <c r="HW511" s="45"/>
      <c r="HX511" s="45"/>
      <c r="HY511" s="45"/>
    </row>
    <row r="512" spans="1:233" s="46" customFormat="1" ht="15" customHeight="1">
      <c r="A512" s="73" t="s">
        <v>44</v>
      </c>
      <c r="B512" s="26" t="s">
        <v>10</v>
      </c>
      <c r="C512" s="26" t="s">
        <v>13</v>
      </c>
      <c r="D512" s="26" t="s">
        <v>610</v>
      </c>
      <c r="E512" s="26" t="s">
        <v>67</v>
      </c>
      <c r="F512" s="26" t="s">
        <v>44</v>
      </c>
      <c r="G512" s="26" t="s">
        <v>194</v>
      </c>
      <c r="H512" s="26" t="s">
        <v>22</v>
      </c>
      <c r="I512" s="26" t="s">
        <v>641</v>
      </c>
      <c r="J512" s="26" t="s">
        <v>23</v>
      </c>
      <c r="K512" s="27" t="s">
        <v>73</v>
      </c>
      <c r="L512" s="26">
        <v>238</v>
      </c>
      <c r="M512" s="28">
        <v>171</v>
      </c>
      <c r="N512" s="82">
        <f t="shared" si="81"/>
        <v>71.848739495798313</v>
      </c>
      <c r="O512" s="28">
        <v>238</v>
      </c>
      <c r="P512" s="28">
        <v>57</v>
      </c>
      <c r="Q512" s="82">
        <f t="shared" si="82"/>
        <v>23.949579831932773</v>
      </c>
      <c r="R512" s="31">
        <v>28</v>
      </c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  <c r="BP512" s="45"/>
      <c r="BQ512" s="45"/>
      <c r="BR512" s="45"/>
      <c r="BS512" s="45"/>
      <c r="BT512" s="45"/>
      <c r="BU512" s="45"/>
      <c r="BV512" s="45"/>
      <c r="BW512" s="45"/>
      <c r="BX512" s="45"/>
      <c r="BY512" s="45"/>
      <c r="BZ512" s="45"/>
      <c r="CA512" s="45"/>
      <c r="CB512" s="45"/>
      <c r="CC512" s="45"/>
      <c r="CD512" s="45"/>
      <c r="CE512" s="45"/>
      <c r="CF512" s="45"/>
      <c r="CG512" s="45"/>
      <c r="CH512" s="45"/>
      <c r="CI512" s="45"/>
      <c r="CJ512" s="45"/>
      <c r="CK512" s="45"/>
      <c r="CL512" s="45"/>
      <c r="CM512" s="45"/>
      <c r="CN512" s="45"/>
      <c r="CO512" s="45"/>
      <c r="CP512" s="45"/>
      <c r="CQ512" s="45"/>
      <c r="CR512" s="45"/>
      <c r="CS512" s="45"/>
      <c r="CT512" s="45"/>
      <c r="CU512" s="45"/>
      <c r="CV512" s="45"/>
      <c r="CW512" s="45"/>
      <c r="CX512" s="45"/>
      <c r="CY512" s="45"/>
      <c r="CZ512" s="45"/>
      <c r="DA512" s="45"/>
      <c r="DB512" s="45"/>
      <c r="DC512" s="45"/>
      <c r="DD512" s="45"/>
      <c r="DE512" s="45"/>
      <c r="DF512" s="45"/>
      <c r="DG512" s="45"/>
      <c r="DH512" s="45"/>
      <c r="DI512" s="45"/>
      <c r="DJ512" s="45"/>
      <c r="DK512" s="45"/>
      <c r="DL512" s="45"/>
      <c r="DM512" s="45"/>
      <c r="DN512" s="45"/>
      <c r="DO512" s="45"/>
      <c r="DP512" s="45"/>
      <c r="DQ512" s="45"/>
      <c r="DR512" s="45"/>
      <c r="DS512" s="45"/>
      <c r="DT512" s="45"/>
      <c r="DU512" s="45"/>
      <c r="DV512" s="45"/>
      <c r="DW512" s="45"/>
      <c r="DX512" s="45"/>
      <c r="DY512" s="45"/>
      <c r="DZ512" s="45"/>
      <c r="EA512" s="45"/>
      <c r="EB512" s="45"/>
      <c r="EC512" s="45"/>
      <c r="ED512" s="45"/>
      <c r="EE512" s="45"/>
      <c r="EF512" s="45"/>
      <c r="EG512" s="45"/>
      <c r="EH512" s="45"/>
      <c r="EI512" s="45"/>
      <c r="EJ512" s="45"/>
      <c r="EK512" s="45"/>
      <c r="EL512" s="45"/>
      <c r="EM512" s="45"/>
      <c r="EN512" s="45"/>
      <c r="EO512" s="45"/>
      <c r="EP512" s="45"/>
      <c r="EQ512" s="45"/>
      <c r="ER512" s="45"/>
      <c r="ES512" s="45"/>
      <c r="ET512" s="45"/>
      <c r="EU512" s="45"/>
      <c r="EV512" s="45"/>
      <c r="EW512" s="45"/>
      <c r="EX512" s="45"/>
      <c r="EY512" s="45"/>
      <c r="EZ512" s="45"/>
      <c r="FA512" s="45"/>
      <c r="FB512" s="45"/>
      <c r="FC512" s="45"/>
      <c r="FD512" s="45"/>
      <c r="FE512" s="45"/>
      <c r="FF512" s="45"/>
      <c r="FG512" s="45"/>
      <c r="FH512" s="45"/>
      <c r="FI512" s="45"/>
      <c r="FJ512" s="45"/>
      <c r="FK512" s="45"/>
      <c r="FL512" s="45"/>
      <c r="FM512" s="45"/>
      <c r="FN512" s="45"/>
      <c r="FO512" s="45"/>
      <c r="FP512" s="45"/>
      <c r="FQ512" s="45"/>
      <c r="FR512" s="45"/>
      <c r="FS512" s="45"/>
      <c r="FT512" s="45"/>
      <c r="FU512" s="45"/>
      <c r="FV512" s="45"/>
      <c r="FW512" s="45"/>
      <c r="FX512" s="45"/>
      <c r="FY512" s="45"/>
      <c r="FZ512" s="45"/>
      <c r="GA512" s="45"/>
      <c r="GB512" s="45"/>
      <c r="GC512" s="45"/>
      <c r="GD512" s="45"/>
      <c r="GE512" s="45"/>
      <c r="GF512" s="45"/>
      <c r="GG512" s="45"/>
      <c r="GH512" s="45"/>
      <c r="GI512" s="45"/>
      <c r="GJ512" s="45"/>
      <c r="GK512" s="45"/>
      <c r="GL512" s="45"/>
      <c r="GM512" s="45"/>
      <c r="GN512" s="45"/>
      <c r="GO512" s="45"/>
      <c r="GP512" s="45"/>
      <c r="GQ512" s="45"/>
      <c r="GR512" s="45"/>
      <c r="GS512" s="45"/>
      <c r="GT512" s="45"/>
      <c r="GU512" s="45"/>
      <c r="GV512" s="45"/>
      <c r="GW512" s="45"/>
      <c r="GX512" s="45"/>
      <c r="GY512" s="45"/>
      <c r="GZ512" s="45"/>
      <c r="HA512" s="45"/>
      <c r="HB512" s="45"/>
      <c r="HC512" s="45"/>
      <c r="HD512" s="45"/>
      <c r="HE512" s="45"/>
      <c r="HF512" s="45"/>
      <c r="HG512" s="45"/>
      <c r="HH512" s="45"/>
      <c r="HI512" s="45"/>
      <c r="HJ512" s="45"/>
      <c r="HK512" s="45"/>
      <c r="HL512" s="45"/>
      <c r="HM512" s="45"/>
      <c r="HN512" s="45"/>
      <c r="HO512" s="45"/>
      <c r="HP512" s="45"/>
      <c r="HQ512" s="45"/>
      <c r="HR512" s="45"/>
      <c r="HS512" s="45"/>
      <c r="HT512" s="45"/>
      <c r="HU512" s="45"/>
      <c r="HV512" s="45"/>
      <c r="HW512" s="45"/>
      <c r="HX512" s="45"/>
      <c r="HY512" s="45"/>
    </row>
    <row r="513" spans="1:233" s="46" customFormat="1" ht="15" customHeight="1">
      <c r="A513" s="73" t="s">
        <v>44</v>
      </c>
      <c r="B513" s="26" t="s">
        <v>10</v>
      </c>
      <c r="C513" s="26" t="s">
        <v>13</v>
      </c>
      <c r="D513" s="26" t="s">
        <v>610</v>
      </c>
      <c r="E513" s="26" t="s">
        <v>67</v>
      </c>
      <c r="F513" s="26" t="s">
        <v>44</v>
      </c>
      <c r="G513" s="26" t="s">
        <v>194</v>
      </c>
      <c r="H513" s="26" t="s">
        <v>22</v>
      </c>
      <c r="I513" s="26" t="s">
        <v>641</v>
      </c>
      <c r="J513" s="26" t="s">
        <v>11</v>
      </c>
      <c r="K513" s="27" t="s">
        <v>142</v>
      </c>
      <c r="L513" s="26">
        <f>SUM(L514:L520)</f>
        <v>1890</v>
      </c>
      <c r="M513" s="26">
        <f t="shared" ref="M513" si="83">SUM(M514:M520)</f>
        <v>1196</v>
      </c>
      <c r="N513" s="82">
        <f>M513*100/L513</f>
        <v>63.280423280423278</v>
      </c>
      <c r="O513" s="26">
        <f t="shared" ref="O513" si="84">SUM(O514:O520)</f>
        <v>1679</v>
      </c>
      <c r="P513" s="26">
        <f t="shared" ref="P513" si="85">SUM(P514:P520)</f>
        <v>418</v>
      </c>
      <c r="Q513" s="82">
        <f>P513*100/O513</f>
        <v>24.895771292435974</v>
      </c>
      <c r="R513" s="31">
        <v>28</v>
      </c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  <c r="BP513" s="45"/>
      <c r="BQ513" s="45"/>
      <c r="BR513" s="45"/>
      <c r="BS513" s="45"/>
      <c r="BT513" s="45"/>
      <c r="BU513" s="45"/>
      <c r="BV513" s="45"/>
      <c r="BW513" s="45"/>
      <c r="BX513" s="45"/>
      <c r="BY513" s="45"/>
      <c r="BZ513" s="45"/>
      <c r="CA513" s="45"/>
      <c r="CB513" s="45"/>
      <c r="CC513" s="45"/>
      <c r="CD513" s="45"/>
      <c r="CE513" s="45"/>
      <c r="CF513" s="45"/>
      <c r="CG513" s="45"/>
      <c r="CH513" s="45"/>
      <c r="CI513" s="45"/>
      <c r="CJ513" s="45"/>
      <c r="CK513" s="45"/>
      <c r="CL513" s="45"/>
      <c r="CM513" s="45"/>
      <c r="CN513" s="45"/>
      <c r="CO513" s="45"/>
      <c r="CP513" s="45"/>
      <c r="CQ513" s="45"/>
      <c r="CR513" s="45"/>
      <c r="CS513" s="45"/>
      <c r="CT513" s="45"/>
      <c r="CU513" s="45"/>
      <c r="CV513" s="45"/>
      <c r="CW513" s="45"/>
      <c r="CX513" s="45"/>
      <c r="CY513" s="45"/>
      <c r="CZ513" s="45"/>
      <c r="DA513" s="45"/>
      <c r="DB513" s="45"/>
      <c r="DC513" s="45"/>
      <c r="DD513" s="45"/>
      <c r="DE513" s="45"/>
      <c r="DF513" s="45"/>
      <c r="DG513" s="45"/>
      <c r="DH513" s="45"/>
      <c r="DI513" s="45"/>
      <c r="DJ513" s="45"/>
      <c r="DK513" s="45"/>
      <c r="DL513" s="45"/>
      <c r="DM513" s="45"/>
      <c r="DN513" s="45"/>
      <c r="DO513" s="45"/>
      <c r="DP513" s="45"/>
      <c r="DQ513" s="45"/>
      <c r="DR513" s="45"/>
      <c r="DS513" s="45"/>
      <c r="DT513" s="45"/>
      <c r="DU513" s="45"/>
      <c r="DV513" s="45"/>
      <c r="DW513" s="45"/>
      <c r="DX513" s="45"/>
      <c r="DY513" s="45"/>
      <c r="DZ513" s="45"/>
      <c r="EA513" s="45"/>
      <c r="EB513" s="45"/>
      <c r="EC513" s="45"/>
      <c r="ED513" s="45"/>
      <c r="EE513" s="45"/>
      <c r="EF513" s="45"/>
      <c r="EG513" s="45"/>
      <c r="EH513" s="45"/>
      <c r="EI513" s="45"/>
      <c r="EJ513" s="45"/>
      <c r="EK513" s="45"/>
      <c r="EL513" s="45"/>
      <c r="EM513" s="45"/>
      <c r="EN513" s="45"/>
      <c r="EO513" s="45"/>
      <c r="EP513" s="45"/>
      <c r="EQ513" s="45"/>
      <c r="ER513" s="45"/>
      <c r="ES513" s="45"/>
      <c r="ET513" s="45"/>
      <c r="EU513" s="45"/>
      <c r="EV513" s="45"/>
      <c r="EW513" s="45"/>
      <c r="EX513" s="45"/>
      <c r="EY513" s="45"/>
      <c r="EZ513" s="45"/>
      <c r="FA513" s="45"/>
      <c r="FB513" s="45"/>
      <c r="FC513" s="45"/>
      <c r="FD513" s="45"/>
      <c r="FE513" s="45"/>
      <c r="FF513" s="45"/>
      <c r="FG513" s="45"/>
      <c r="FH513" s="45"/>
      <c r="FI513" s="45"/>
      <c r="FJ513" s="45"/>
      <c r="FK513" s="45"/>
      <c r="FL513" s="45"/>
      <c r="FM513" s="45"/>
      <c r="FN513" s="45"/>
      <c r="FO513" s="45"/>
      <c r="FP513" s="45"/>
      <c r="FQ513" s="45"/>
      <c r="FR513" s="45"/>
      <c r="FS513" s="45"/>
      <c r="FT513" s="45"/>
      <c r="FU513" s="45"/>
      <c r="FV513" s="45"/>
      <c r="FW513" s="45"/>
      <c r="FX513" s="45"/>
      <c r="FY513" s="45"/>
      <c r="FZ513" s="45"/>
      <c r="GA513" s="45"/>
      <c r="GB513" s="45"/>
      <c r="GC513" s="45"/>
      <c r="GD513" s="45"/>
      <c r="GE513" s="45"/>
      <c r="GF513" s="45"/>
      <c r="GG513" s="45"/>
      <c r="GH513" s="45"/>
      <c r="GI513" s="45"/>
      <c r="GJ513" s="45"/>
      <c r="GK513" s="45"/>
      <c r="GL513" s="45"/>
      <c r="GM513" s="45"/>
      <c r="GN513" s="45"/>
      <c r="GO513" s="45"/>
      <c r="GP513" s="45"/>
      <c r="GQ513" s="45"/>
      <c r="GR513" s="45"/>
      <c r="GS513" s="45"/>
      <c r="GT513" s="45"/>
      <c r="GU513" s="45"/>
      <c r="GV513" s="45"/>
      <c r="GW513" s="45"/>
      <c r="GX513" s="45"/>
      <c r="GY513" s="45"/>
      <c r="GZ513" s="45"/>
      <c r="HA513" s="45"/>
      <c r="HB513" s="45"/>
      <c r="HC513" s="45"/>
      <c r="HD513" s="45"/>
      <c r="HE513" s="45"/>
      <c r="HF513" s="45"/>
      <c r="HG513" s="45"/>
      <c r="HH513" s="45"/>
      <c r="HI513" s="45"/>
      <c r="HJ513" s="45"/>
      <c r="HK513" s="45"/>
      <c r="HL513" s="45"/>
      <c r="HM513" s="45"/>
      <c r="HN513" s="45"/>
      <c r="HO513" s="45"/>
      <c r="HP513" s="45"/>
      <c r="HQ513" s="45"/>
      <c r="HR513" s="45"/>
      <c r="HS513" s="45"/>
      <c r="HT513" s="45"/>
      <c r="HU513" s="45"/>
      <c r="HV513" s="45"/>
      <c r="HW513" s="45"/>
      <c r="HX513" s="45"/>
      <c r="HY513" s="45"/>
    </row>
    <row r="514" spans="1:233" s="46" customFormat="1" ht="15" customHeight="1">
      <c r="A514" s="73" t="s">
        <v>44</v>
      </c>
      <c r="B514" s="26" t="s">
        <v>10</v>
      </c>
      <c r="C514" s="26" t="s">
        <v>13</v>
      </c>
      <c r="D514" s="26" t="s">
        <v>610</v>
      </c>
      <c r="E514" s="26" t="s">
        <v>67</v>
      </c>
      <c r="F514" s="26" t="s">
        <v>44</v>
      </c>
      <c r="G514" s="26" t="s">
        <v>194</v>
      </c>
      <c r="H514" s="26" t="s">
        <v>22</v>
      </c>
      <c r="I514" s="26" t="s">
        <v>641</v>
      </c>
      <c r="J514" s="26" t="s">
        <v>11</v>
      </c>
      <c r="K514" s="27" t="s">
        <v>24</v>
      </c>
      <c r="L514" s="26">
        <v>337</v>
      </c>
      <c r="M514" s="28">
        <v>148</v>
      </c>
      <c r="N514" s="82">
        <f>M514*100/L514</f>
        <v>43.916913946587535</v>
      </c>
      <c r="O514" s="28">
        <v>126</v>
      </c>
      <c r="P514" s="28">
        <v>6</v>
      </c>
      <c r="Q514" s="82">
        <f>P514*100/O514</f>
        <v>4.7619047619047619</v>
      </c>
      <c r="R514" s="31">
        <v>28</v>
      </c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  <c r="BP514" s="45"/>
      <c r="BQ514" s="45"/>
      <c r="BR514" s="45"/>
      <c r="BS514" s="45"/>
      <c r="BT514" s="45"/>
      <c r="BU514" s="45"/>
      <c r="BV514" s="45"/>
      <c r="BW514" s="45"/>
      <c r="BX514" s="45"/>
      <c r="BY514" s="45"/>
      <c r="BZ514" s="45"/>
      <c r="CA514" s="45"/>
      <c r="CB514" s="45"/>
      <c r="CC514" s="45"/>
      <c r="CD514" s="45"/>
      <c r="CE514" s="45"/>
      <c r="CF514" s="45"/>
      <c r="CG514" s="45"/>
      <c r="CH514" s="45"/>
      <c r="CI514" s="45"/>
      <c r="CJ514" s="45"/>
      <c r="CK514" s="45"/>
      <c r="CL514" s="45"/>
      <c r="CM514" s="45"/>
      <c r="CN514" s="45"/>
      <c r="CO514" s="45"/>
      <c r="CP514" s="45"/>
      <c r="CQ514" s="45"/>
      <c r="CR514" s="45"/>
      <c r="CS514" s="45"/>
      <c r="CT514" s="45"/>
      <c r="CU514" s="45"/>
      <c r="CV514" s="45"/>
      <c r="CW514" s="45"/>
      <c r="CX514" s="45"/>
      <c r="CY514" s="45"/>
      <c r="CZ514" s="45"/>
      <c r="DA514" s="45"/>
      <c r="DB514" s="45"/>
      <c r="DC514" s="45"/>
      <c r="DD514" s="45"/>
      <c r="DE514" s="45"/>
      <c r="DF514" s="45"/>
      <c r="DG514" s="45"/>
      <c r="DH514" s="45"/>
      <c r="DI514" s="45"/>
      <c r="DJ514" s="45"/>
      <c r="DK514" s="45"/>
      <c r="DL514" s="45"/>
      <c r="DM514" s="45"/>
      <c r="DN514" s="45"/>
      <c r="DO514" s="45"/>
      <c r="DP514" s="45"/>
      <c r="DQ514" s="45"/>
      <c r="DR514" s="45"/>
      <c r="DS514" s="45"/>
      <c r="DT514" s="45"/>
      <c r="DU514" s="45"/>
      <c r="DV514" s="45"/>
      <c r="DW514" s="45"/>
      <c r="DX514" s="45"/>
      <c r="DY514" s="45"/>
      <c r="DZ514" s="45"/>
      <c r="EA514" s="45"/>
      <c r="EB514" s="45"/>
      <c r="EC514" s="45"/>
      <c r="ED514" s="45"/>
      <c r="EE514" s="45"/>
      <c r="EF514" s="45"/>
      <c r="EG514" s="45"/>
      <c r="EH514" s="45"/>
      <c r="EI514" s="45"/>
      <c r="EJ514" s="45"/>
      <c r="EK514" s="45"/>
      <c r="EL514" s="45"/>
      <c r="EM514" s="45"/>
      <c r="EN514" s="45"/>
      <c r="EO514" s="45"/>
      <c r="EP514" s="45"/>
      <c r="EQ514" s="45"/>
      <c r="ER514" s="45"/>
      <c r="ES514" s="45"/>
      <c r="ET514" s="45"/>
      <c r="EU514" s="45"/>
      <c r="EV514" s="45"/>
      <c r="EW514" s="45"/>
      <c r="EX514" s="45"/>
      <c r="EY514" s="45"/>
      <c r="EZ514" s="45"/>
      <c r="FA514" s="45"/>
      <c r="FB514" s="45"/>
      <c r="FC514" s="45"/>
      <c r="FD514" s="45"/>
      <c r="FE514" s="45"/>
      <c r="FF514" s="45"/>
      <c r="FG514" s="45"/>
      <c r="FH514" s="45"/>
      <c r="FI514" s="45"/>
      <c r="FJ514" s="45"/>
      <c r="FK514" s="45"/>
      <c r="FL514" s="45"/>
      <c r="FM514" s="45"/>
      <c r="FN514" s="45"/>
      <c r="FO514" s="45"/>
      <c r="FP514" s="45"/>
      <c r="FQ514" s="45"/>
      <c r="FR514" s="45"/>
      <c r="FS514" s="45"/>
      <c r="FT514" s="45"/>
      <c r="FU514" s="45"/>
      <c r="FV514" s="45"/>
      <c r="FW514" s="45"/>
      <c r="FX514" s="45"/>
      <c r="FY514" s="45"/>
      <c r="FZ514" s="45"/>
      <c r="GA514" s="45"/>
      <c r="GB514" s="45"/>
      <c r="GC514" s="45"/>
      <c r="GD514" s="45"/>
      <c r="GE514" s="45"/>
      <c r="GF514" s="45"/>
      <c r="GG514" s="45"/>
      <c r="GH514" s="45"/>
      <c r="GI514" s="45"/>
      <c r="GJ514" s="45"/>
      <c r="GK514" s="45"/>
      <c r="GL514" s="45"/>
      <c r="GM514" s="45"/>
      <c r="GN514" s="45"/>
      <c r="GO514" s="45"/>
      <c r="GP514" s="45"/>
      <c r="GQ514" s="45"/>
      <c r="GR514" s="45"/>
      <c r="GS514" s="45"/>
      <c r="GT514" s="45"/>
      <c r="GU514" s="45"/>
      <c r="GV514" s="45"/>
      <c r="GW514" s="45"/>
      <c r="GX514" s="45"/>
      <c r="GY514" s="45"/>
      <c r="GZ514" s="45"/>
      <c r="HA514" s="45"/>
      <c r="HB514" s="45"/>
      <c r="HC514" s="45"/>
      <c r="HD514" s="45"/>
      <c r="HE514" s="45"/>
      <c r="HF514" s="45"/>
      <c r="HG514" s="45"/>
      <c r="HH514" s="45"/>
      <c r="HI514" s="45"/>
      <c r="HJ514" s="45"/>
      <c r="HK514" s="45"/>
      <c r="HL514" s="45"/>
      <c r="HM514" s="45"/>
      <c r="HN514" s="45"/>
      <c r="HO514" s="45"/>
      <c r="HP514" s="45"/>
      <c r="HQ514" s="45"/>
      <c r="HR514" s="45"/>
      <c r="HS514" s="45"/>
      <c r="HT514" s="45"/>
      <c r="HU514" s="45"/>
      <c r="HV514" s="45"/>
      <c r="HW514" s="45"/>
      <c r="HX514" s="45"/>
      <c r="HY514" s="45"/>
    </row>
    <row r="515" spans="1:233" s="46" customFormat="1" ht="15" customHeight="1">
      <c r="A515" s="73" t="s">
        <v>44</v>
      </c>
      <c r="B515" s="26" t="s">
        <v>10</v>
      </c>
      <c r="C515" s="26" t="s">
        <v>13</v>
      </c>
      <c r="D515" s="26" t="s">
        <v>610</v>
      </c>
      <c r="E515" s="26" t="s">
        <v>67</v>
      </c>
      <c r="F515" s="26" t="s">
        <v>44</v>
      </c>
      <c r="G515" s="26" t="s">
        <v>194</v>
      </c>
      <c r="H515" s="26" t="s">
        <v>22</v>
      </c>
      <c r="I515" s="26" t="s">
        <v>641</v>
      </c>
      <c r="J515" s="26" t="s">
        <v>11</v>
      </c>
      <c r="K515" s="27" t="s">
        <v>25</v>
      </c>
      <c r="L515" s="26">
        <v>261</v>
      </c>
      <c r="M515" s="28">
        <v>136</v>
      </c>
      <c r="N515" s="82">
        <f t="shared" ref="N515:N520" si="86">M515*100/L515</f>
        <v>52.107279693486589</v>
      </c>
      <c r="O515" s="28">
        <v>261</v>
      </c>
      <c r="P515" s="28">
        <v>33</v>
      </c>
      <c r="Q515" s="82">
        <f t="shared" ref="Q515:Q520" si="87">P515*100/O515</f>
        <v>12.64367816091954</v>
      </c>
      <c r="R515" s="31">
        <v>28</v>
      </c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  <c r="BP515" s="45"/>
      <c r="BQ515" s="45"/>
      <c r="BR515" s="45"/>
      <c r="BS515" s="45"/>
      <c r="BT515" s="45"/>
      <c r="BU515" s="45"/>
      <c r="BV515" s="45"/>
      <c r="BW515" s="45"/>
      <c r="BX515" s="45"/>
      <c r="BY515" s="45"/>
      <c r="BZ515" s="45"/>
      <c r="CA515" s="45"/>
      <c r="CB515" s="45"/>
      <c r="CC515" s="45"/>
      <c r="CD515" s="45"/>
      <c r="CE515" s="45"/>
      <c r="CF515" s="45"/>
      <c r="CG515" s="45"/>
      <c r="CH515" s="45"/>
      <c r="CI515" s="45"/>
      <c r="CJ515" s="45"/>
      <c r="CK515" s="45"/>
      <c r="CL515" s="45"/>
      <c r="CM515" s="45"/>
      <c r="CN515" s="45"/>
      <c r="CO515" s="45"/>
      <c r="CP515" s="45"/>
      <c r="CQ515" s="45"/>
      <c r="CR515" s="45"/>
      <c r="CS515" s="45"/>
      <c r="CT515" s="45"/>
      <c r="CU515" s="45"/>
      <c r="CV515" s="45"/>
      <c r="CW515" s="45"/>
      <c r="CX515" s="45"/>
      <c r="CY515" s="45"/>
      <c r="CZ515" s="45"/>
      <c r="DA515" s="45"/>
      <c r="DB515" s="45"/>
      <c r="DC515" s="45"/>
      <c r="DD515" s="45"/>
      <c r="DE515" s="45"/>
      <c r="DF515" s="45"/>
      <c r="DG515" s="45"/>
      <c r="DH515" s="45"/>
      <c r="DI515" s="45"/>
      <c r="DJ515" s="45"/>
      <c r="DK515" s="45"/>
      <c r="DL515" s="45"/>
      <c r="DM515" s="45"/>
      <c r="DN515" s="45"/>
      <c r="DO515" s="45"/>
      <c r="DP515" s="45"/>
      <c r="DQ515" s="45"/>
      <c r="DR515" s="45"/>
      <c r="DS515" s="45"/>
      <c r="DT515" s="45"/>
      <c r="DU515" s="45"/>
      <c r="DV515" s="45"/>
      <c r="DW515" s="45"/>
      <c r="DX515" s="45"/>
      <c r="DY515" s="45"/>
      <c r="DZ515" s="45"/>
      <c r="EA515" s="45"/>
      <c r="EB515" s="45"/>
      <c r="EC515" s="45"/>
      <c r="ED515" s="45"/>
      <c r="EE515" s="45"/>
      <c r="EF515" s="45"/>
      <c r="EG515" s="45"/>
      <c r="EH515" s="45"/>
      <c r="EI515" s="45"/>
      <c r="EJ515" s="45"/>
      <c r="EK515" s="45"/>
      <c r="EL515" s="45"/>
      <c r="EM515" s="45"/>
      <c r="EN515" s="45"/>
      <c r="EO515" s="45"/>
      <c r="EP515" s="45"/>
      <c r="EQ515" s="45"/>
      <c r="ER515" s="45"/>
      <c r="ES515" s="45"/>
      <c r="ET515" s="45"/>
      <c r="EU515" s="45"/>
      <c r="EV515" s="45"/>
      <c r="EW515" s="45"/>
      <c r="EX515" s="45"/>
      <c r="EY515" s="45"/>
      <c r="EZ515" s="45"/>
      <c r="FA515" s="45"/>
      <c r="FB515" s="45"/>
      <c r="FC515" s="45"/>
      <c r="FD515" s="45"/>
      <c r="FE515" s="45"/>
      <c r="FF515" s="45"/>
      <c r="FG515" s="45"/>
      <c r="FH515" s="45"/>
      <c r="FI515" s="45"/>
      <c r="FJ515" s="45"/>
      <c r="FK515" s="45"/>
      <c r="FL515" s="45"/>
      <c r="FM515" s="45"/>
      <c r="FN515" s="45"/>
      <c r="FO515" s="45"/>
      <c r="FP515" s="45"/>
      <c r="FQ515" s="45"/>
      <c r="FR515" s="45"/>
      <c r="FS515" s="45"/>
      <c r="FT515" s="45"/>
      <c r="FU515" s="45"/>
      <c r="FV515" s="45"/>
      <c r="FW515" s="45"/>
      <c r="FX515" s="45"/>
      <c r="FY515" s="45"/>
      <c r="FZ515" s="45"/>
      <c r="GA515" s="45"/>
      <c r="GB515" s="45"/>
      <c r="GC515" s="45"/>
      <c r="GD515" s="45"/>
      <c r="GE515" s="45"/>
      <c r="GF515" s="45"/>
      <c r="GG515" s="45"/>
      <c r="GH515" s="45"/>
      <c r="GI515" s="45"/>
      <c r="GJ515" s="45"/>
      <c r="GK515" s="45"/>
      <c r="GL515" s="45"/>
      <c r="GM515" s="45"/>
      <c r="GN515" s="45"/>
      <c r="GO515" s="45"/>
      <c r="GP515" s="45"/>
      <c r="GQ515" s="45"/>
      <c r="GR515" s="45"/>
      <c r="GS515" s="45"/>
      <c r="GT515" s="45"/>
      <c r="GU515" s="45"/>
      <c r="GV515" s="45"/>
      <c r="GW515" s="45"/>
      <c r="GX515" s="45"/>
      <c r="GY515" s="45"/>
      <c r="GZ515" s="45"/>
      <c r="HA515" s="45"/>
      <c r="HB515" s="45"/>
      <c r="HC515" s="45"/>
      <c r="HD515" s="45"/>
      <c r="HE515" s="45"/>
      <c r="HF515" s="45"/>
      <c r="HG515" s="45"/>
      <c r="HH515" s="45"/>
      <c r="HI515" s="45"/>
      <c r="HJ515" s="45"/>
      <c r="HK515" s="45"/>
      <c r="HL515" s="45"/>
      <c r="HM515" s="45"/>
      <c r="HN515" s="45"/>
      <c r="HO515" s="45"/>
      <c r="HP515" s="45"/>
      <c r="HQ515" s="45"/>
      <c r="HR515" s="45"/>
      <c r="HS515" s="45"/>
      <c r="HT515" s="45"/>
      <c r="HU515" s="45"/>
      <c r="HV515" s="45"/>
      <c r="HW515" s="45"/>
      <c r="HX515" s="45"/>
      <c r="HY515" s="45"/>
    </row>
    <row r="516" spans="1:233" s="46" customFormat="1" ht="15" customHeight="1">
      <c r="A516" s="73" t="s">
        <v>44</v>
      </c>
      <c r="B516" s="26" t="s">
        <v>10</v>
      </c>
      <c r="C516" s="26" t="s">
        <v>13</v>
      </c>
      <c r="D516" s="26" t="s">
        <v>610</v>
      </c>
      <c r="E516" s="26" t="s">
        <v>67</v>
      </c>
      <c r="F516" s="26" t="s">
        <v>44</v>
      </c>
      <c r="G516" s="26" t="s">
        <v>194</v>
      </c>
      <c r="H516" s="26" t="s">
        <v>22</v>
      </c>
      <c r="I516" s="26" t="s">
        <v>641</v>
      </c>
      <c r="J516" s="26" t="s">
        <v>11</v>
      </c>
      <c r="K516" s="27" t="s">
        <v>26</v>
      </c>
      <c r="L516" s="26">
        <v>248</v>
      </c>
      <c r="M516" s="28">
        <v>161</v>
      </c>
      <c r="N516" s="82">
        <f t="shared" si="86"/>
        <v>64.91935483870968</v>
      </c>
      <c r="O516" s="28">
        <v>248</v>
      </c>
      <c r="P516" s="28">
        <v>45</v>
      </c>
      <c r="Q516" s="82">
        <f t="shared" si="87"/>
        <v>18.14516129032258</v>
      </c>
      <c r="R516" s="31">
        <v>28</v>
      </c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  <c r="BP516" s="45"/>
      <c r="BQ516" s="45"/>
      <c r="BR516" s="45"/>
      <c r="BS516" s="45"/>
      <c r="BT516" s="45"/>
      <c r="BU516" s="45"/>
      <c r="BV516" s="45"/>
      <c r="BW516" s="45"/>
      <c r="BX516" s="45"/>
      <c r="BY516" s="45"/>
      <c r="BZ516" s="45"/>
      <c r="CA516" s="45"/>
      <c r="CB516" s="45"/>
      <c r="CC516" s="45"/>
      <c r="CD516" s="45"/>
      <c r="CE516" s="45"/>
      <c r="CF516" s="45"/>
      <c r="CG516" s="45"/>
      <c r="CH516" s="45"/>
      <c r="CI516" s="45"/>
      <c r="CJ516" s="45"/>
      <c r="CK516" s="45"/>
      <c r="CL516" s="45"/>
      <c r="CM516" s="45"/>
      <c r="CN516" s="45"/>
      <c r="CO516" s="45"/>
      <c r="CP516" s="45"/>
      <c r="CQ516" s="45"/>
      <c r="CR516" s="45"/>
      <c r="CS516" s="45"/>
      <c r="CT516" s="45"/>
      <c r="CU516" s="45"/>
      <c r="CV516" s="45"/>
      <c r="CW516" s="45"/>
      <c r="CX516" s="45"/>
      <c r="CY516" s="45"/>
      <c r="CZ516" s="45"/>
      <c r="DA516" s="45"/>
      <c r="DB516" s="45"/>
      <c r="DC516" s="45"/>
      <c r="DD516" s="45"/>
      <c r="DE516" s="45"/>
      <c r="DF516" s="45"/>
      <c r="DG516" s="45"/>
      <c r="DH516" s="45"/>
      <c r="DI516" s="45"/>
      <c r="DJ516" s="45"/>
      <c r="DK516" s="45"/>
      <c r="DL516" s="45"/>
      <c r="DM516" s="45"/>
      <c r="DN516" s="45"/>
      <c r="DO516" s="45"/>
      <c r="DP516" s="45"/>
      <c r="DQ516" s="45"/>
      <c r="DR516" s="45"/>
      <c r="DS516" s="45"/>
      <c r="DT516" s="45"/>
      <c r="DU516" s="45"/>
      <c r="DV516" s="45"/>
      <c r="DW516" s="45"/>
      <c r="DX516" s="45"/>
      <c r="DY516" s="45"/>
      <c r="DZ516" s="45"/>
      <c r="EA516" s="45"/>
      <c r="EB516" s="45"/>
      <c r="EC516" s="45"/>
      <c r="ED516" s="45"/>
      <c r="EE516" s="45"/>
      <c r="EF516" s="45"/>
      <c r="EG516" s="45"/>
      <c r="EH516" s="45"/>
      <c r="EI516" s="45"/>
      <c r="EJ516" s="45"/>
      <c r="EK516" s="45"/>
      <c r="EL516" s="45"/>
      <c r="EM516" s="45"/>
      <c r="EN516" s="45"/>
      <c r="EO516" s="45"/>
      <c r="EP516" s="45"/>
      <c r="EQ516" s="45"/>
      <c r="ER516" s="45"/>
      <c r="ES516" s="45"/>
      <c r="ET516" s="45"/>
      <c r="EU516" s="45"/>
      <c r="EV516" s="45"/>
      <c r="EW516" s="45"/>
      <c r="EX516" s="45"/>
      <c r="EY516" s="45"/>
      <c r="EZ516" s="45"/>
      <c r="FA516" s="45"/>
      <c r="FB516" s="45"/>
      <c r="FC516" s="45"/>
      <c r="FD516" s="45"/>
      <c r="FE516" s="45"/>
      <c r="FF516" s="45"/>
      <c r="FG516" s="45"/>
      <c r="FH516" s="45"/>
      <c r="FI516" s="45"/>
      <c r="FJ516" s="45"/>
      <c r="FK516" s="45"/>
      <c r="FL516" s="45"/>
      <c r="FM516" s="45"/>
      <c r="FN516" s="45"/>
      <c r="FO516" s="45"/>
      <c r="FP516" s="45"/>
      <c r="FQ516" s="45"/>
      <c r="FR516" s="45"/>
      <c r="FS516" s="45"/>
      <c r="FT516" s="45"/>
      <c r="FU516" s="45"/>
      <c r="FV516" s="45"/>
      <c r="FW516" s="45"/>
      <c r="FX516" s="45"/>
      <c r="FY516" s="45"/>
      <c r="FZ516" s="45"/>
      <c r="GA516" s="45"/>
      <c r="GB516" s="45"/>
      <c r="GC516" s="45"/>
      <c r="GD516" s="45"/>
      <c r="GE516" s="45"/>
      <c r="GF516" s="45"/>
      <c r="GG516" s="45"/>
      <c r="GH516" s="45"/>
      <c r="GI516" s="45"/>
      <c r="GJ516" s="45"/>
      <c r="GK516" s="45"/>
      <c r="GL516" s="45"/>
      <c r="GM516" s="45"/>
      <c r="GN516" s="45"/>
      <c r="GO516" s="45"/>
      <c r="GP516" s="45"/>
      <c r="GQ516" s="45"/>
      <c r="GR516" s="45"/>
      <c r="GS516" s="45"/>
      <c r="GT516" s="45"/>
      <c r="GU516" s="45"/>
      <c r="GV516" s="45"/>
      <c r="GW516" s="45"/>
      <c r="GX516" s="45"/>
      <c r="GY516" s="45"/>
      <c r="GZ516" s="45"/>
      <c r="HA516" s="45"/>
      <c r="HB516" s="45"/>
      <c r="HC516" s="45"/>
      <c r="HD516" s="45"/>
      <c r="HE516" s="45"/>
      <c r="HF516" s="45"/>
      <c r="HG516" s="45"/>
      <c r="HH516" s="45"/>
      <c r="HI516" s="45"/>
      <c r="HJ516" s="45"/>
      <c r="HK516" s="45"/>
      <c r="HL516" s="45"/>
      <c r="HM516" s="45"/>
      <c r="HN516" s="45"/>
      <c r="HO516" s="45"/>
      <c r="HP516" s="45"/>
      <c r="HQ516" s="45"/>
      <c r="HR516" s="45"/>
      <c r="HS516" s="45"/>
      <c r="HT516" s="45"/>
      <c r="HU516" s="45"/>
      <c r="HV516" s="45"/>
      <c r="HW516" s="45"/>
      <c r="HX516" s="45"/>
      <c r="HY516" s="45"/>
    </row>
    <row r="517" spans="1:233" s="46" customFormat="1" ht="15" customHeight="1">
      <c r="A517" s="73" t="s">
        <v>44</v>
      </c>
      <c r="B517" s="26" t="s">
        <v>10</v>
      </c>
      <c r="C517" s="26" t="s">
        <v>13</v>
      </c>
      <c r="D517" s="26" t="s">
        <v>610</v>
      </c>
      <c r="E517" s="26" t="s">
        <v>67</v>
      </c>
      <c r="F517" s="26" t="s">
        <v>44</v>
      </c>
      <c r="G517" s="26" t="s">
        <v>194</v>
      </c>
      <c r="H517" s="26" t="s">
        <v>22</v>
      </c>
      <c r="I517" s="26" t="s">
        <v>641</v>
      </c>
      <c r="J517" s="26" t="s">
        <v>11</v>
      </c>
      <c r="K517" s="27" t="s">
        <v>27</v>
      </c>
      <c r="L517" s="26">
        <v>246</v>
      </c>
      <c r="M517" s="28">
        <v>170</v>
      </c>
      <c r="N517" s="82">
        <f t="shared" si="86"/>
        <v>69.105691056910572</v>
      </c>
      <c r="O517" s="28">
        <v>246</v>
      </c>
      <c r="P517" s="28">
        <v>62</v>
      </c>
      <c r="Q517" s="82">
        <f t="shared" si="87"/>
        <v>25.203252032520325</v>
      </c>
      <c r="R517" s="31">
        <v>28</v>
      </c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  <c r="BP517" s="45"/>
      <c r="BQ517" s="45"/>
      <c r="BR517" s="45"/>
      <c r="BS517" s="45"/>
      <c r="BT517" s="45"/>
      <c r="BU517" s="45"/>
      <c r="BV517" s="45"/>
      <c r="BW517" s="45"/>
      <c r="BX517" s="45"/>
      <c r="BY517" s="45"/>
      <c r="BZ517" s="45"/>
      <c r="CA517" s="45"/>
      <c r="CB517" s="45"/>
      <c r="CC517" s="45"/>
      <c r="CD517" s="45"/>
      <c r="CE517" s="45"/>
      <c r="CF517" s="45"/>
      <c r="CG517" s="45"/>
      <c r="CH517" s="45"/>
      <c r="CI517" s="45"/>
      <c r="CJ517" s="45"/>
      <c r="CK517" s="45"/>
      <c r="CL517" s="45"/>
      <c r="CM517" s="45"/>
      <c r="CN517" s="45"/>
      <c r="CO517" s="45"/>
      <c r="CP517" s="45"/>
      <c r="CQ517" s="45"/>
      <c r="CR517" s="45"/>
      <c r="CS517" s="45"/>
      <c r="CT517" s="45"/>
      <c r="CU517" s="45"/>
      <c r="CV517" s="45"/>
      <c r="CW517" s="45"/>
      <c r="CX517" s="45"/>
      <c r="CY517" s="45"/>
      <c r="CZ517" s="45"/>
      <c r="DA517" s="45"/>
      <c r="DB517" s="45"/>
      <c r="DC517" s="45"/>
      <c r="DD517" s="45"/>
      <c r="DE517" s="45"/>
      <c r="DF517" s="45"/>
      <c r="DG517" s="45"/>
      <c r="DH517" s="45"/>
      <c r="DI517" s="45"/>
      <c r="DJ517" s="45"/>
      <c r="DK517" s="45"/>
      <c r="DL517" s="45"/>
      <c r="DM517" s="45"/>
      <c r="DN517" s="45"/>
      <c r="DO517" s="45"/>
      <c r="DP517" s="45"/>
      <c r="DQ517" s="45"/>
      <c r="DR517" s="45"/>
      <c r="DS517" s="45"/>
      <c r="DT517" s="45"/>
      <c r="DU517" s="45"/>
      <c r="DV517" s="45"/>
      <c r="DW517" s="45"/>
      <c r="DX517" s="45"/>
      <c r="DY517" s="45"/>
      <c r="DZ517" s="45"/>
      <c r="EA517" s="45"/>
      <c r="EB517" s="45"/>
      <c r="EC517" s="45"/>
      <c r="ED517" s="45"/>
      <c r="EE517" s="45"/>
      <c r="EF517" s="45"/>
      <c r="EG517" s="45"/>
      <c r="EH517" s="45"/>
      <c r="EI517" s="45"/>
      <c r="EJ517" s="45"/>
      <c r="EK517" s="45"/>
      <c r="EL517" s="45"/>
      <c r="EM517" s="45"/>
      <c r="EN517" s="45"/>
      <c r="EO517" s="45"/>
      <c r="EP517" s="45"/>
      <c r="EQ517" s="45"/>
      <c r="ER517" s="45"/>
      <c r="ES517" s="45"/>
      <c r="ET517" s="45"/>
      <c r="EU517" s="45"/>
      <c r="EV517" s="45"/>
      <c r="EW517" s="45"/>
      <c r="EX517" s="45"/>
      <c r="EY517" s="45"/>
      <c r="EZ517" s="45"/>
      <c r="FA517" s="45"/>
      <c r="FB517" s="45"/>
      <c r="FC517" s="45"/>
      <c r="FD517" s="45"/>
      <c r="FE517" s="45"/>
      <c r="FF517" s="45"/>
      <c r="FG517" s="45"/>
      <c r="FH517" s="45"/>
      <c r="FI517" s="45"/>
      <c r="FJ517" s="45"/>
      <c r="FK517" s="45"/>
      <c r="FL517" s="45"/>
      <c r="FM517" s="45"/>
      <c r="FN517" s="45"/>
      <c r="FO517" s="45"/>
      <c r="FP517" s="45"/>
      <c r="FQ517" s="45"/>
      <c r="FR517" s="45"/>
      <c r="FS517" s="45"/>
      <c r="FT517" s="45"/>
      <c r="FU517" s="45"/>
      <c r="FV517" s="45"/>
      <c r="FW517" s="45"/>
      <c r="FX517" s="45"/>
      <c r="FY517" s="45"/>
      <c r="FZ517" s="45"/>
      <c r="GA517" s="45"/>
      <c r="GB517" s="45"/>
      <c r="GC517" s="45"/>
      <c r="GD517" s="45"/>
      <c r="GE517" s="45"/>
      <c r="GF517" s="45"/>
      <c r="GG517" s="45"/>
      <c r="GH517" s="45"/>
      <c r="GI517" s="45"/>
      <c r="GJ517" s="45"/>
      <c r="GK517" s="45"/>
      <c r="GL517" s="45"/>
      <c r="GM517" s="45"/>
      <c r="GN517" s="45"/>
      <c r="GO517" s="45"/>
      <c r="GP517" s="45"/>
      <c r="GQ517" s="45"/>
      <c r="GR517" s="45"/>
      <c r="GS517" s="45"/>
      <c r="GT517" s="45"/>
      <c r="GU517" s="45"/>
      <c r="GV517" s="45"/>
      <c r="GW517" s="45"/>
      <c r="GX517" s="45"/>
      <c r="GY517" s="45"/>
      <c r="GZ517" s="45"/>
      <c r="HA517" s="45"/>
      <c r="HB517" s="45"/>
      <c r="HC517" s="45"/>
      <c r="HD517" s="45"/>
      <c r="HE517" s="45"/>
      <c r="HF517" s="45"/>
      <c r="HG517" s="45"/>
      <c r="HH517" s="45"/>
      <c r="HI517" s="45"/>
      <c r="HJ517" s="45"/>
      <c r="HK517" s="45"/>
      <c r="HL517" s="45"/>
      <c r="HM517" s="45"/>
      <c r="HN517" s="45"/>
      <c r="HO517" s="45"/>
      <c r="HP517" s="45"/>
      <c r="HQ517" s="45"/>
      <c r="HR517" s="45"/>
      <c r="HS517" s="45"/>
      <c r="HT517" s="45"/>
      <c r="HU517" s="45"/>
      <c r="HV517" s="45"/>
      <c r="HW517" s="45"/>
      <c r="HX517" s="45"/>
      <c r="HY517" s="45"/>
    </row>
    <row r="518" spans="1:233" s="46" customFormat="1" ht="15" customHeight="1">
      <c r="A518" s="73" t="s">
        <v>44</v>
      </c>
      <c r="B518" s="26" t="s">
        <v>10</v>
      </c>
      <c r="C518" s="26" t="s">
        <v>13</v>
      </c>
      <c r="D518" s="26" t="s">
        <v>610</v>
      </c>
      <c r="E518" s="26" t="s">
        <v>67</v>
      </c>
      <c r="F518" s="26" t="s">
        <v>44</v>
      </c>
      <c r="G518" s="26" t="s">
        <v>194</v>
      </c>
      <c r="H518" s="26" t="s">
        <v>22</v>
      </c>
      <c r="I518" s="26" t="s">
        <v>641</v>
      </c>
      <c r="J518" s="26" t="s">
        <v>11</v>
      </c>
      <c r="K518" s="27" t="s">
        <v>28</v>
      </c>
      <c r="L518" s="26">
        <v>250</v>
      </c>
      <c r="M518" s="28">
        <v>165</v>
      </c>
      <c r="N518" s="82">
        <f t="shared" si="86"/>
        <v>66</v>
      </c>
      <c r="O518" s="28">
        <v>249</v>
      </c>
      <c r="P518" s="28">
        <v>80</v>
      </c>
      <c r="Q518" s="82">
        <f t="shared" si="87"/>
        <v>32.128514056224901</v>
      </c>
      <c r="R518" s="31">
        <v>28</v>
      </c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  <c r="BP518" s="45"/>
      <c r="BQ518" s="45"/>
      <c r="BR518" s="45"/>
      <c r="BS518" s="45"/>
      <c r="BT518" s="45"/>
      <c r="BU518" s="45"/>
      <c r="BV518" s="45"/>
      <c r="BW518" s="45"/>
      <c r="BX518" s="45"/>
      <c r="BY518" s="45"/>
      <c r="BZ518" s="45"/>
      <c r="CA518" s="45"/>
      <c r="CB518" s="45"/>
      <c r="CC518" s="45"/>
      <c r="CD518" s="45"/>
      <c r="CE518" s="45"/>
      <c r="CF518" s="45"/>
      <c r="CG518" s="45"/>
      <c r="CH518" s="45"/>
      <c r="CI518" s="45"/>
      <c r="CJ518" s="45"/>
      <c r="CK518" s="45"/>
      <c r="CL518" s="45"/>
      <c r="CM518" s="45"/>
      <c r="CN518" s="45"/>
      <c r="CO518" s="45"/>
      <c r="CP518" s="45"/>
      <c r="CQ518" s="45"/>
      <c r="CR518" s="45"/>
      <c r="CS518" s="45"/>
      <c r="CT518" s="45"/>
      <c r="CU518" s="45"/>
      <c r="CV518" s="45"/>
      <c r="CW518" s="45"/>
      <c r="CX518" s="45"/>
      <c r="CY518" s="45"/>
      <c r="CZ518" s="45"/>
      <c r="DA518" s="45"/>
      <c r="DB518" s="45"/>
      <c r="DC518" s="45"/>
      <c r="DD518" s="45"/>
      <c r="DE518" s="45"/>
      <c r="DF518" s="45"/>
      <c r="DG518" s="45"/>
      <c r="DH518" s="45"/>
      <c r="DI518" s="45"/>
      <c r="DJ518" s="45"/>
      <c r="DK518" s="45"/>
      <c r="DL518" s="45"/>
      <c r="DM518" s="45"/>
      <c r="DN518" s="45"/>
      <c r="DO518" s="45"/>
      <c r="DP518" s="45"/>
      <c r="DQ518" s="45"/>
      <c r="DR518" s="45"/>
      <c r="DS518" s="45"/>
      <c r="DT518" s="45"/>
      <c r="DU518" s="45"/>
      <c r="DV518" s="45"/>
      <c r="DW518" s="45"/>
      <c r="DX518" s="45"/>
      <c r="DY518" s="45"/>
      <c r="DZ518" s="45"/>
      <c r="EA518" s="45"/>
      <c r="EB518" s="45"/>
      <c r="EC518" s="45"/>
      <c r="ED518" s="45"/>
      <c r="EE518" s="45"/>
      <c r="EF518" s="45"/>
      <c r="EG518" s="45"/>
      <c r="EH518" s="45"/>
      <c r="EI518" s="45"/>
      <c r="EJ518" s="45"/>
      <c r="EK518" s="45"/>
      <c r="EL518" s="45"/>
      <c r="EM518" s="45"/>
      <c r="EN518" s="45"/>
      <c r="EO518" s="45"/>
      <c r="EP518" s="45"/>
      <c r="EQ518" s="45"/>
      <c r="ER518" s="45"/>
      <c r="ES518" s="45"/>
      <c r="ET518" s="45"/>
      <c r="EU518" s="45"/>
      <c r="EV518" s="45"/>
      <c r="EW518" s="45"/>
      <c r="EX518" s="45"/>
      <c r="EY518" s="45"/>
      <c r="EZ518" s="45"/>
      <c r="FA518" s="45"/>
      <c r="FB518" s="45"/>
      <c r="FC518" s="45"/>
      <c r="FD518" s="45"/>
      <c r="FE518" s="45"/>
      <c r="FF518" s="45"/>
      <c r="FG518" s="45"/>
      <c r="FH518" s="45"/>
      <c r="FI518" s="45"/>
      <c r="FJ518" s="45"/>
      <c r="FK518" s="45"/>
      <c r="FL518" s="45"/>
      <c r="FM518" s="45"/>
      <c r="FN518" s="45"/>
      <c r="FO518" s="45"/>
      <c r="FP518" s="45"/>
      <c r="FQ518" s="45"/>
      <c r="FR518" s="45"/>
      <c r="FS518" s="45"/>
      <c r="FT518" s="45"/>
      <c r="FU518" s="45"/>
      <c r="FV518" s="45"/>
      <c r="FW518" s="45"/>
      <c r="FX518" s="45"/>
      <c r="FY518" s="45"/>
      <c r="FZ518" s="45"/>
      <c r="GA518" s="45"/>
      <c r="GB518" s="45"/>
      <c r="GC518" s="45"/>
      <c r="GD518" s="45"/>
      <c r="GE518" s="45"/>
      <c r="GF518" s="45"/>
      <c r="GG518" s="45"/>
      <c r="GH518" s="45"/>
      <c r="GI518" s="45"/>
      <c r="GJ518" s="45"/>
      <c r="GK518" s="45"/>
      <c r="GL518" s="45"/>
      <c r="GM518" s="45"/>
      <c r="GN518" s="45"/>
      <c r="GO518" s="45"/>
      <c r="GP518" s="45"/>
      <c r="GQ518" s="45"/>
      <c r="GR518" s="45"/>
      <c r="GS518" s="45"/>
      <c r="GT518" s="45"/>
      <c r="GU518" s="45"/>
      <c r="GV518" s="45"/>
      <c r="GW518" s="45"/>
      <c r="GX518" s="45"/>
      <c r="GY518" s="45"/>
      <c r="GZ518" s="45"/>
      <c r="HA518" s="45"/>
      <c r="HB518" s="45"/>
      <c r="HC518" s="45"/>
      <c r="HD518" s="45"/>
      <c r="HE518" s="45"/>
      <c r="HF518" s="45"/>
      <c r="HG518" s="45"/>
      <c r="HH518" s="45"/>
      <c r="HI518" s="45"/>
      <c r="HJ518" s="45"/>
      <c r="HK518" s="45"/>
      <c r="HL518" s="45"/>
      <c r="HM518" s="45"/>
      <c r="HN518" s="45"/>
      <c r="HO518" s="45"/>
      <c r="HP518" s="45"/>
      <c r="HQ518" s="45"/>
      <c r="HR518" s="45"/>
      <c r="HS518" s="45"/>
      <c r="HT518" s="45"/>
      <c r="HU518" s="45"/>
      <c r="HV518" s="45"/>
      <c r="HW518" s="45"/>
      <c r="HX518" s="45"/>
      <c r="HY518" s="45"/>
    </row>
    <row r="519" spans="1:233" s="46" customFormat="1" ht="15" customHeight="1">
      <c r="A519" s="73" t="s">
        <v>44</v>
      </c>
      <c r="B519" s="26" t="s">
        <v>10</v>
      </c>
      <c r="C519" s="26" t="s">
        <v>13</v>
      </c>
      <c r="D519" s="26" t="s">
        <v>610</v>
      </c>
      <c r="E519" s="26" t="s">
        <v>67</v>
      </c>
      <c r="F519" s="26" t="s">
        <v>44</v>
      </c>
      <c r="G519" s="26" t="s">
        <v>194</v>
      </c>
      <c r="H519" s="26" t="s">
        <v>22</v>
      </c>
      <c r="I519" s="26" t="s">
        <v>641</v>
      </c>
      <c r="J519" s="26" t="s">
        <v>11</v>
      </c>
      <c r="K519" s="27" t="s">
        <v>72</v>
      </c>
      <c r="L519" s="26">
        <v>281</v>
      </c>
      <c r="M519" s="28">
        <v>214</v>
      </c>
      <c r="N519" s="82">
        <f t="shared" si="86"/>
        <v>76.156583629893234</v>
      </c>
      <c r="O519" s="28">
        <v>281</v>
      </c>
      <c r="P519" s="28">
        <v>91</v>
      </c>
      <c r="Q519" s="82">
        <f t="shared" si="87"/>
        <v>32.384341637010678</v>
      </c>
      <c r="R519" s="31">
        <v>28</v>
      </c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  <c r="BP519" s="45"/>
      <c r="BQ519" s="45"/>
      <c r="BR519" s="45"/>
      <c r="BS519" s="45"/>
      <c r="BT519" s="45"/>
      <c r="BU519" s="45"/>
      <c r="BV519" s="45"/>
      <c r="BW519" s="45"/>
      <c r="BX519" s="45"/>
      <c r="BY519" s="45"/>
      <c r="BZ519" s="45"/>
      <c r="CA519" s="45"/>
      <c r="CB519" s="45"/>
      <c r="CC519" s="45"/>
      <c r="CD519" s="45"/>
      <c r="CE519" s="45"/>
      <c r="CF519" s="45"/>
      <c r="CG519" s="45"/>
      <c r="CH519" s="45"/>
      <c r="CI519" s="45"/>
      <c r="CJ519" s="45"/>
      <c r="CK519" s="45"/>
      <c r="CL519" s="45"/>
      <c r="CM519" s="45"/>
      <c r="CN519" s="45"/>
      <c r="CO519" s="45"/>
      <c r="CP519" s="45"/>
      <c r="CQ519" s="45"/>
      <c r="CR519" s="45"/>
      <c r="CS519" s="45"/>
      <c r="CT519" s="45"/>
      <c r="CU519" s="45"/>
      <c r="CV519" s="45"/>
      <c r="CW519" s="45"/>
      <c r="CX519" s="45"/>
      <c r="CY519" s="45"/>
      <c r="CZ519" s="45"/>
      <c r="DA519" s="45"/>
      <c r="DB519" s="45"/>
      <c r="DC519" s="45"/>
      <c r="DD519" s="45"/>
      <c r="DE519" s="45"/>
      <c r="DF519" s="45"/>
      <c r="DG519" s="45"/>
      <c r="DH519" s="45"/>
      <c r="DI519" s="45"/>
      <c r="DJ519" s="45"/>
      <c r="DK519" s="45"/>
      <c r="DL519" s="45"/>
      <c r="DM519" s="45"/>
      <c r="DN519" s="45"/>
      <c r="DO519" s="45"/>
      <c r="DP519" s="45"/>
      <c r="DQ519" s="45"/>
      <c r="DR519" s="45"/>
      <c r="DS519" s="45"/>
      <c r="DT519" s="45"/>
      <c r="DU519" s="45"/>
      <c r="DV519" s="45"/>
      <c r="DW519" s="45"/>
      <c r="DX519" s="45"/>
      <c r="DY519" s="45"/>
      <c r="DZ519" s="45"/>
      <c r="EA519" s="45"/>
      <c r="EB519" s="45"/>
      <c r="EC519" s="45"/>
      <c r="ED519" s="45"/>
      <c r="EE519" s="45"/>
      <c r="EF519" s="45"/>
      <c r="EG519" s="45"/>
      <c r="EH519" s="45"/>
      <c r="EI519" s="45"/>
      <c r="EJ519" s="45"/>
      <c r="EK519" s="45"/>
      <c r="EL519" s="45"/>
      <c r="EM519" s="45"/>
      <c r="EN519" s="45"/>
      <c r="EO519" s="45"/>
      <c r="EP519" s="45"/>
      <c r="EQ519" s="45"/>
      <c r="ER519" s="45"/>
      <c r="ES519" s="45"/>
      <c r="ET519" s="45"/>
      <c r="EU519" s="45"/>
      <c r="EV519" s="45"/>
      <c r="EW519" s="45"/>
      <c r="EX519" s="45"/>
      <c r="EY519" s="45"/>
      <c r="EZ519" s="45"/>
      <c r="FA519" s="45"/>
      <c r="FB519" s="45"/>
      <c r="FC519" s="45"/>
      <c r="FD519" s="45"/>
      <c r="FE519" s="45"/>
      <c r="FF519" s="45"/>
      <c r="FG519" s="45"/>
      <c r="FH519" s="45"/>
      <c r="FI519" s="45"/>
      <c r="FJ519" s="45"/>
      <c r="FK519" s="45"/>
      <c r="FL519" s="45"/>
      <c r="FM519" s="45"/>
      <c r="FN519" s="45"/>
      <c r="FO519" s="45"/>
      <c r="FP519" s="45"/>
      <c r="FQ519" s="45"/>
      <c r="FR519" s="45"/>
      <c r="FS519" s="45"/>
      <c r="FT519" s="45"/>
      <c r="FU519" s="45"/>
      <c r="FV519" s="45"/>
      <c r="FW519" s="45"/>
      <c r="FX519" s="45"/>
      <c r="FY519" s="45"/>
      <c r="FZ519" s="45"/>
      <c r="GA519" s="45"/>
      <c r="GB519" s="45"/>
      <c r="GC519" s="45"/>
      <c r="GD519" s="45"/>
      <c r="GE519" s="45"/>
      <c r="GF519" s="45"/>
      <c r="GG519" s="45"/>
      <c r="GH519" s="45"/>
      <c r="GI519" s="45"/>
      <c r="GJ519" s="45"/>
      <c r="GK519" s="45"/>
      <c r="GL519" s="45"/>
      <c r="GM519" s="45"/>
      <c r="GN519" s="45"/>
      <c r="GO519" s="45"/>
      <c r="GP519" s="45"/>
      <c r="GQ519" s="45"/>
      <c r="GR519" s="45"/>
      <c r="GS519" s="45"/>
      <c r="GT519" s="45"/>
      <c r="GU519" s="45"/>
      <c r="GV519" s="45"/>
      <c r="GW519" s="45"/>
      <c r="GX519" s="45"/>
      <c r="GY519" s="45"/>
      <c r="GZ519" s="45"/>
      <c r="HA519" s="45"/>
      <c r="HB519" s="45"/>
      <c r="HC519" s="45"/>
      <c r="HD519" s="45"/>
      <c r="HE519" s="45"/>
      <c r="HF519" s="45"/>
      <c r="HG519" s="45"/>
      <c r="HH519" s="45"/>
      <c r="HI519" s="45"/>
      <c r="HJ519" s="45"/>
      <c r="HK519" s="45"/>
      <c r="HL519" s="45"/>
      <c r="HM519" s="45"/>
      <c r="HN519" s="45"/>
      <c r="HO519" s="45"/>
      <c r="HP519" s="45"/>
      <c r="HQ519" s="45"/>
      <c r="HR519" s="45"/>
      <c r="HS519" s="45"/>
      <c r="HT519" s="45"/>
      <c r="HU519" s="45"/>
      <c r="HV519" s="45"/>
      <c r="HW519" s="45"/>
      <c r="HX519" s="45"/>
      <c r="HY519" s="45"/>
    </row>
    <row r="520" spans="1:233" s="46" customFormat="1" ht="15" customHeight="1">
      <c r="A520" s="73" t="s">
        <v>44</v>
      </c>
      <c r="B520" s="26" t="s">
        <v>10</v>
      </c>
      <c r="C520" s="26" t="s">
        <v>13</v>
      </c>
      <c r="D520" s="26" t="s">
        <v>610</v>
      </c>
      <c r="E520" s="26" t="s">
        <v>67</v>
      </c>
      <c r="F520" s="26" t="s">
        <v>44</v>
      </c>
      <c r="G520" s="26" t="s">
        <v>194</v>
      </c>
      <c r="H520" s="26" t="s">
        <v>22</v>
      </c>
      <c r="I520" s="26" t="s">
        <v>641</v>
      </c>
      <c r="J520" s="26" t="s">
        <v>11</v>
      </c>
      <c r="K520" s="27" t="s">
        <v>73</v>
      </c>
      <c r="L520" s="26">
        <v>267</v>
      </c>
      <c r="M520" s="28">
        <v>202</v>
      </c>
      <c r="N520" s="82">
        <f t="shared" si="86"/>
        <v>75.655430711610492</v>
      </c>
      <c r="O520" s="28">
        <v>268</v>
      </c>
      <c r="P520" s="28">
        <v>101</v>
      </c>
      <c r="Q520" s="82">
        <f t="shared" si="87"/>
        <v>37.686567164179102</v>
      </c>
      <c r="R520" s="31">
        <v>28</v>
      </c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  <c r="BP520" s="45"/>
      <c r="BQ520" s="45"/>
      <c r="BR520" s="45"/>
      <c r="BS520" s="45"/>
      <c r="BT520" s="45"/>
      <c r="BU520" s="45"/>
      <c r="BV520" s="45"/>
      <c r="BW520" s="45"/>
      <c r="BX520" s="45"/>
      <c r="BY520" s="45"/>
      <c r="BZ520" s="45"/>
      <c r="CA520" s="45"/>
      <c r="CB520" s="45"/>
      <c r="CC520" s="45"/>
      <c r="CD520" s="45"/>
      <c r="CE520" s="45"/>
      <c r="CF520" s="45"/>
      <c r="CG520" s="45"/>
      <c r="CH520" s="45"/>
      <c r="CI520" s="45"/>
      <c r="CJ520" s="45"/>
      <c r="CK520" s="45"/>
      <c r="CL520" s="45"/>
      <c r="CM520" s="45"/>
      <c r="CN520" s="45"/>
      <c r="CO520" s="45"/>
      <c r="CP520" s="45"/>
      <c r="CQ520" s="45"/>
      <c r="CR520" s="45"/>
      <c r="CS520" s="45"/>
      <c r="CT520" s="45"/>
      <c r="CU520" s="45"/>
      <c r="CV520" s="45"/>
      <c r="CW520" s="45"/>
      <c r="CX520" s="45"/>
      <c r="CY520" s="45"/>
      <c r="CZ520" s="45"/>
      <c r="DA520" s="45"/>
      <c r="DB520" s="45"/>
      <c r="DC520" s="45"/>
      <c r="DD520" s="45"/>
      <c r="DE520" s="45"/>
      <c r="DF520" s="45"/>
      <c r="DG520" s="45"/>
      <c r="DH520" s="45"/>
      <c r="DI520" s="45"/>
      <c r="DJ520" s="45"/>
      <c r="DK520" s="45"/>
      <c r="DL520" s="45"/>
      <c r="DM520" s="45"/>
      <c r="DN520" s="45"/>
      <c r="DO520" s="45"/>
      <c r="DP520" s="45"/>
      <c r="DQ520" s="45"/>
      <c r="DR520" s="45"/>
      <c r="DS520" s="45"/>
      <c r="DT520" s="45"/>
      <c r="DU520" s="45"/>
      <c r="DV520" s="45"/>
      <c r="DW520" s="45"/>
      <c r="DX520" s="45"/>
      <c r="DY520" s="45"/>
      <c r="DZ520" s="45"/>
      <c r="EA520" s="45"/>
      <c r="EB520" s="45"/>
      <c r="EC520" s="45"/>
      <c r="ED520" s="45"/>
      <c r="EE520" s="45"/>
      <c r="EF520" s="45"/>
      <c r="EG520" s="45"/>
      <c r="EH520" s="45"/>
      <c r="EI520" s="45"/>
      <c r="EJ520" s="45"/>
      <c r="EK520" s="45"/>
      <c r="EL520" s="45"/>
      <c r="EM520" s="45"/>
      <c r="EN520" s="45"/>
      <c r="EO520" s="45"/>
      <c r="EP520" s="45"/>
      <c r="EQ520" s="45"/>
      <c r="ER520" s="45"/>
      <c r="ES520" s="45"/>
      <c r="ET520" s="45"/>
      <c r="EU520" s="45"/>
      <c r="EV520" s="45"/>
      <c r="EW520" s="45"/>
      <c r="EX520" s="45"/>
      <c r="EY520" s="45"/>
      <c r="EZ520" s="45"/>
      <c r="FA520" s="45"/>
      <c r="FB520" s="45"/>
      <c r="FC520" s="45"/>
      <c r="FD520" s="45"/>
      <c r="FE520" s="45"/>
      <c r="FF520" s="45"/>
      <c r="FG520" s="45"/>
      <c r="FH520" s="45"/>
      <c r="FI520" s="45"/>
      <c r="FJ520" s="45"/>
      <c r="FK520" s="45"/>
      <c r="FL520" s="45"/>
      <c r="FM520" s="45"/>
      <c r="FN520" s="45"/>
      <c r="FO520" s="45"/>
      <c r="FP520" s="45"/>
      <c r="FQ520" s="45"/>
      <c r="FR520" s="45"/>
      <c r="FS520" s="45"/>
      <c r="FT520" s="45"/>
      <c r="FU520" s="45"/>
      <c r="FV520" s="45"/>
      <c r="FW520" s="45"/>
      <c r="FX520" s="45"/>
      <c r="FY520" s="45"/>
      <c r="FZ520" s="45"/>
      <c r="GA520" s="45"/>
      <c r="GB520" s="45"/>
      <c r="GC520" s="45"/>
      <c r="GD520" s="45"/>
      <c r="GE520" s="45"/>
      <c r="GF520" s="45"/>
      <c r="GG520" s="45"/>
      <c r="GH520" s="45"/>
      <c r="GI520" s="45"/>
      <c r="GJ520" s="45"/>
      <c r="GK520" s="45"/>
      <c r="GL520" s="45"/>
      <c r="GM520" s="45"/>
      <c r="GN520" s="45"/>
      <c r="GO520" s="45"/>
      <c r="GP520" s="45"/>
      <c r="GQ520" s="45"/>
      <c r="GR520" s="45"/>
      <c r="GS520" s="45"/>
      <c r="GT520" s="45"/>
      <c r="GU520" s="45"/>
      <c r="GV520" s="45"/>
      <c r="GW520" s="45"/>
      <c r="GX520" s="45"/>
      <c r="GY520" s="45"/>
      <c r="GZ520" s="45"/>
      <c r="HA520" s="45"/>
      <c r="HB520" s="45"/>
      <c r="HC520" s="45"/>
      <c r="HD520" s="45"/>
      <c r="HE520" s="45"/>
      <c r="HF520" s="45"/>
      <c r="HG520" s="45"/>
      <c r="HH520" s="45"/>
      <c r="HI520" s="45"/>
      <c r="HJ520" s="45"/>
      <c r="HK520" s="45"/>
      <c r="HL520" s="45"/>
      <c r="HM520" s="45"/>
      <c r="HN520" s="45"/>
      <c r="HO520" s="45"/>
      <c r="HP520" s="45"/>
      <c r="HQ520" s="45"/>
      <c r="HR520" s="45"/>
      <c r="HS520" s="45"/>
      <c r="HT520" s="45"/>
      <c r="HU520" s="45"/>
      <c r="HV520" s="45"/>
      <c r="HW520" s="45"/>
      <c r="HX520" s="45"/>
      <c r="HY520" s="45"/>
    </row>
    <row r="521" spans="1:233" s="46" customFormat="1" ht="15" customHeight="1">
      <c r="A521" s="73" t="s">
        <v>44</v>
      </c>
      <c r="B521" s="26" t="s">
        <v>10</v>
      </c>
      <c r="C521" s="26" t="s">
        <v>13</v>
      </c>
      <c r="D521" s="26" t="s">
        <v>610</v>
      </c>
      <c r="E521" s="26" t="s">
        <v>67</v>
      </c>
      <c r="F521" s="26" t="s">
        <v>44</v>
      </c>
      <c r="G521" s="26" t="s">
        <v>128</v>
      </c>
      <c r="H521" s="26" t="s">
        <v>22</v>
      </c>
      <c r="I521" s="26" t="s">
        <v>641</v>
      </c>
      <c r="J521" s="26" t="s">
        <v>16</v>
      </c>
      <c r="K521" s="27" t="s">
        <v>142</v>
      </c>
      <c r="L521" s="26">
        <f>L529+L537</f>
        <v>3187</v>
      </c>
      <c r="M521" s="26">
        <f>M529+M537</f>
        <v>1851</v>
      </c>
      <c r="N521" s="82">
        <f>M521*100/L521</f>
        <v>58.079698776278633</v>
      </c>
      <c r="O521" s="26">
        <f>O529+O537</f>
        <v>2801</v>
      </c>
      <c r="P521" s="26">
        <f>P529+P537</f>
        <v>531</v>
      </c>
      <c r="Q521" s="82">
        <f>P521*100/O521</f>
        <v>18.957515173152444</v>
      </c>
      <c r="R521" s="31">
        <v>28</v>
      </c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  <c r="BP521" s="45"/>
      <c r="BQ521" s="45"/>
      <c r="BR521" s="45"/>
      <c r="BS521" s="45"/>
      <c r="BT521" s="45"/>
      <c r="BU521" s="45"/>
      <c r="BV521" s="45"/>
      <c r="BW521" s="45"/>
      <c r="BX521" s="45"/>
      <c r="BY521" s="45"/>
      <c r="BZ521" s="45"/>
      <c r="CA521" s="45"/>
      <c r="CB521" s="45"/>
      <c r="CC521" s="45"/>
      <c r="CD521" s="45"/>
      <c r="CE521" s="45"/>
      <c r="CF521" s="45"/>
      <c r="CG521" s="45"/>
      <c r="CH521" s="45"/>
      <c r="CI521" s="45"/>
      <c r="CJ521" s="45"/>
      <c r="CK521" s="45"/>
      <c r="CL521" s="45"/>
      <c r="CM521" s="45"/>
      <c r="CN521" s="45"/>
      <c r="CO521" s="45"/>
      <c r="CP521" s="45"/>
      <c r="CQ521" s="45"/>
      <c r="CR521" s="45"/>
      <c r="CS521" s="45"/>
      <c r="CT521" s="45"/>
      <c r="CU521" s="45"/>
      <c r="CV521" s="45"/>
      <c r="CW521" s="45"/>
      <c r="CX521" s="45"/>
      <c r="CY521" s="45"/>
      <c r="CZ521" s="45"/>
      <c r="DA521" s="45"/>
      <c r="DB521" s="45"/>
      <c r="DC521" s="45"/>
      <c r="DD521" s="45"/>
      <c r="DE521" s="45"/>
      <c r="DF521" s="45"/>
      <c r="DG521" s="45"/>
      <c r="DH521" s="45"/>
      <c r="DI521" s="45"/>
      <c r="DJ521" s="45"/>
      <c r="DK521" s="45"/>
      <c r="DL521" s="45"/>
      <c r="DM521" s="45"/>
      <c r="DN521" s="45"/>
      <c r="DO521" s="45"/>
      <c r="DP521" s="45"/>
      <c r="DQ521" s="45"/>
      <c r="DR521" s="45"/>
      <c r="DS521" s="45"/>
      <c r="DT521" s="45"/>
      <c r="DU521" s="45"/>
      <c r="DV521" s="45"/>
      <c r="DW521" s="45"/>
      <c r="DX521" s="45"/>
      <c r="DY521" s="45"/>
      <c r="DZ521" s="45"/>
      <c r="EA521" s="45"/>
      <c r="EB521" s="45"/>
      <c r="EC521" s="45"/>
      <c r="ED521" s="45"/>
      <c r="EE521" s="45"/>
      <c r="EF521" s="45"/>
      <c r="EG521" s="45"/>
      <c r="EH521" s="45"/>
      <c r="EI521" s="45"/>
      <c r="EJ521" s="45"/>
      <c r="EK521" s="45"/>
      <c r="EL521" s="45"/>
      <c r="EM521" s="45"/>
      <c r="EN521" s="45"/>
      <c r="EO521" s="45"/>
      <c r="EP521" s="45"/>
      <c r="EQ521" s="45"/>
      <c r="ER521" s="45"/>
      <c r="ES521" s="45"/>
      <c r="ET521" s="45"/>
      <c r="EU521" s="45"/>
      <c r="EV521" s="45"/>
      <c r="EW521" s="45"/>
      <c r="EX521" s="45"/>
      <c r="EY521" s="45"/>
      <c r="EZ521" s="45"/>
      <c r="FA521" s="45"/>
      <c r="FB521" s="45"/>
      <c r="FC521" s="45"/>
      <c r="FD521" s="45"/>
      <c r="FE521" s="45"/>
      <c r="FF521" s="45"/>
      <c r="FG521" s="45"/>
      <c r="FH521" s="45"/>
      <c r="FI521" s="45"/>
      <c r="FJ521" s="45"/>
      <c r="FK521" s="45"/>
      <c r="FL521" s="45"/>
      <c r="FM521" s="45"/>
      <c r="FN521" s="45"/>
      <c r="FO521" s="45"/>
      <c r="FP521" s="45"/>
      <c r="FQ521" s="45"/>
      <c r="FR521" s="45"/>
      <c r="FS521" s="45"/>
      <c r="FT521" s="45"/>
      <c r="FU521" s="45"/>
      <c r="FV521" s="45"/>
      <c r="FW521" s="45"/>
      <c r="FX521" s="45"/>
      <c r="FY521" s="45"/>
      <c r="FZ521" s="45"/>
      <c r="GA521" s="45"/>
      <c r="GB521" s="45"/>
      <c r="GC521" s="45"/>
      <c r="GD521" s="45"/>
      <c r="GE521" s="45"/>
      <c r="GF521" s="45"/>
      <c r="GG521" s="45"/>
      <c r="GH521" s="45"/>
      <c r="GI521" s="45"/>
      <c r="GJ521" s="45"/>
      <c r="GK521" s="45"/>
      <c r="GL521" s="45"/>
      <c r="GM521" s="45"/>
      <c r="GN521" s="45"/>
      <c r="GO521" s="45"/>
      <c r="GP521" s="45"/>
      <c r="GQ521" s="45"/>
      <c r="GR521" s="45"/>
      <c r="GS521" s="45"/>
      <c r="GT521" s="45"/>
      <c r="GU521" s="45"/>
      <c r="GV521" s="45"/>
      <c r="GW521" s="45"/>
      <c r="GX521" s="45"/>
      <c r="GY521" s="45"/>
      <c r="GZ521" s="45"/>
      <c r="HA521" s="45"/>
      <c r="HB521" s="45"/>
      <c r="HC521" s="45"/>
      <c r="HD521" s="45"/>
      <c r="HE521" s="45"/>
      <c r="HF521" s="45"/>
      <c r="HG521" s="45"/>
      <c r="HH521" s="45"/>
      <c r="HI521" s="45"/>
      <c r="HJ521" s="45"/>
      <c r="HK521" s="45"/>
      <c r="HL521" s="45"/>
      <c r="HM521" s="45"/>
      <c r="HN521" s="45"/>
      <c r="HO521" s="45"/>
      <c r="HP521" s="45"/>
      <c r="HQ521" s="45"/>
      <c r="HR521" s="45"/>
      <c r="HS521" s="45"/>
      <c r="HT521" s="45"/>
      <c r="HU521" s="45"/>
      <c r="HV521" s="45"/>
      <c r="HW521" s="45"/>
      <c r="HX521" s="45"/>
      <c r="HY521" s="45"/>
    </row>
    <row r="522" spans="1:233" s="46" customFormat="1" ht="15" customHeight="1">
      <c r="A522" s="73" t="s">
        <v>44</v>
      </c>
      <c r="B522" s="26" t="s">
        <v>10</v>
      </c>
      <c r="C522" s="26" t="s">
        <v>13</v>
      </c>
      <c r="D522" s="26" t="s">
        <v>610</v>
      </c>
      <c r="E522" s="26" t="s">
        <v>67</v>
      </c>
      <c r="F522" s="26" t="s">
        <v>44</v>
      </c>
      <c r="G522" s="26" t="s">
        <v>128</v>
      </c>
      <c r="H522" s="26" t="s">
        <v>22</v>
      </c>
      <c r="I522" s="26" t="s">
        <v>641</v>
      </c>
      <c r="J522" s="26" t="s">
        <v>16</v>
      </c>
      <c r="K522" s="27" t="s">
        <v>24</v>
      </c>
      <c r="L522" s="26">
        <f t="shared" ref="L522:M522" si="88">L530+L538</f>
        <v>653</v>
      </c>
      <c r="M522" s="26">
        <f t="shared" si="88"/>
        <v>254</v>
      </c>
      <c r="N522" s="82">
        <f t="shared" ref="N522:N528" si="89">M522*100/L522</f>
        <v>38.897396630934153</v>
      </c>
      <c r="O522" s="26">
        <f t="shared" ref="O522:P522" si="90">O530+O538</f>
        <v>267</v>
      </c>
      <c r="P522" s="26">
        <f t="shared" si="90"/>
        <v>5</v>
      </c>
      <c r="Q522" s="82">
        <f t="shared" ref="Q522:Q528" si="91">P522*100/O522</f>
        <v>1.8726591760299625</v>
      </c>
      <c r="R522" s="31">
        <v>28</v>
      </c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  <c r="BP522" s="45"/>
      <c r="BQ522" s="45"/>
      <c r="BR522" s="45"/>
      <c r="BS522" s="45"/>
      <c r="BT522" s="45"/>
      <c r="BU522" s="45"/>
      <c r="BV522" s="45"/>
      <c r="BW522" s="45"/>
      <c r="BX522" s="45"/>
      <c r="BY522" s="45"/>
      <c r="BZ522" s="45"/>
      <c r="CA522" s="45"/>
      <c r="CB522" s="45"/>
      <c r="CC522" s="45"/>
      <c r="CD522" s="45"/>
      <c r="CE522" s="45"/>
      <c r="CF522" s="45"/>
      <c r="CG522" s="45"/>
      <c r="CH522" s="45"/>
      <c r="CI522" s="45"/>
      <c r="CJ522" s="45"/>
      <c r="CK522" s="45"/>
      <c r="CL522" s="45"/>
      <c r="CM522" s="45"/>
      <c r="CN522" s="45"/>
      <c r="CO522" s="45"/>
      <c r="CP522" s="45"/>
      <c r="CQ522" s="45"/>
      <c r="CR522" s="45"/>
      <c r="CS522" s="45"/>
      <c r="CT522" s="45"/>
      <c r="CU522" s="45"/>
      <c r="CV522" s="45"/>
      <c r="CW522" s="45"/>
      <c r="CX522" s="45"/>
      <c r="CY522" s="45"/>
      <c r="CZ522" s="45"/>
      <c r="DA522" s="45"/>
      <c r="DB522" s="45"/>
      <c r="DC522" s="45"/>
      <c r="DD522" s="45"/>
      <c r="DE522" s="45"/>
      <c r="DF522" s="45"/>
      <c r="DG522" s="45"/>
      <c r="DH522" s="45"/>
      <c r="DI522" s="45"/>
      <c r="DJ522" s="45"/>
      <c r="DK522" s="45"/>
      <c r="DL522" s="45"/>
      <c r="DM522" s="45"/>
      <c r="DN522" s="45"/>
      <c r="DO522" s="45"/>
      <c r="DP522" s="45"/>
      <c r="DQ522" s="45"/>
      <c r="DR522" s="45"/>
      <c r="DS522" s="45"/>
      <c r="DT522" s="45"/>
      <c r="DU522" s="45"/>
      <c r="DV522" s="45"/>
      <c r="DW522" s="45"/>
      <c r="DX522" s="45"/>
      <c r="DY522" s="45"/>
      <c r="DZ522" s="45"/>
      <c r="EA522" s="45"/>
      <c r="EB522" s="45"/>
      <c r="EC522" s="45"/>
      <c r="ED522" s="45"/>
      <c r="EE522" s="45"/>
      <c r="EF522" s="45"/>
      <c r="EG522" s="45"/>
      <c r="EH522" s="45"/>
      <c r="EI522" s="45"/>
      <c r="EJ522" s="45"/>
      <c r="EK522" s="45"/>
      <c r="EL522" s="45"/>
      <c r="EM522" s="45"/>
      <c r="EN522" s="45"/>
      <c r="EO522" s="45"/>
      <c r="EP522" s="45"/>
      <c r="EQ522" s="45"/>
      <c r="ER522" s="45"/>
      <c r="ES522" s="45"/>
      <c r="ET522" s="45"/>
      <c r="EU522" s="45"/>
      <c r="EV522" s="45"/>
      <c r="EW522" s="45"/>
      <c r="EX522" s="45"/>
      <c r="EY522" s="45"/>
      <c r="EZ522" s="45"/>
      <c r="FA522" s="45"/>
      <c r="FB522" s="45"/>
      <c r="FC522" s="45"/>
      <c r="FD522" s="45"/>
      <c r="FE522" s="45"/>
      <c r="FF522" s="45"/>
      <c r="FG522" s="45"/>
      <c r="FH522" s="45"/>
      <c r="FI522" s="45"/>
      <c r="FJ522" s="45"/>
      <c r="FK522" s="45"/>
      <c r="FL522" s="45"/>
      <c r="FM522" s="45"/>
      <c r="FN522" s="45"/>
      <c r="FO522" s="45"/>
      <c r="FP522" s="45"/>
      <c r="FQ522" s="45"/>
      <c r="FR522" s="45"/>
      <c r="FS522" s="45"/>
      <c r="FT522" s="45"/>
      <c r="FU522" s="45"/>
      <c r="FV522" s="45"/>
      <c r="FW522" s="45"/>
      <c r="FX522" s="45"/>
      <c r="FY522" s="45"/>
      <c r="FZ522" s="45"/>
      <c r="GA522" s="45"/>
      <c r="GB522" s="45"/>
      <c r="GC522" s="45"/>
      <c r="GD522" s="45"/>
      <c r="GE522" s="45"/>
      <c r="GF522" s="45"/>
      <c r="GG522" s="45"/>
      <c r="GH522" s="45"/>
      <c r="GI522" s="45"/>
      <c r="GJ522" s="45"/>
      <c r="GK522" s="45"/>
      <c r="GL522" s="45"/>
      <c r="GM522" s="45"/>
      <c r="GN522" s="45"/>
      <c r="GO522" s="45"/>
      <c r="GP522" s="45"/>
      <c r="GQ522" s="45"/>
      <c r="GR522" s="45"/>
      <c r="GS522" s="45"/>
      <c r="GT522" s="45"/>
      <c r="GU522" s="45"/>
      <c r="GV522" s="45"/>
      <c r="GW522" s="45"/>
      <c r="GX522" s="45"/>
      <c r="GY522" s="45"/>
      <c r="GZ522" s="45"/>
      <c r="HA522" s="45"/>
      <c r="HB522" s="45"/>
      <c r="HC522" s="45"/>
      <c r="HD522" s="45"/>
      <c r="HE522" s="45"/>
      <c r="HF522" s="45"/>
      <c r="HG522" s="45"/>
      <c r="HH522" s="45"/>
      <c r="HI522" s="45"/>
      <c r="HJ522" s="45"/>
      <c r="HK522" s="45"/>
      <c r="HL522" s="45"/>
      <c r="HM522" s="45"/>
      <c r="HN522" s="45"/>
      <c r="HO522" s="45"/>
      <c r="HP522" s="45"/>
      <c r="HQ522" s="45"/>
      <c r="HR522" s="45"/>
      <c r="HS522" s="45"/>
      <c r="HT522" s="45"/>
      <c r="HU522" s="45"/>
      <c r="HV522" s="45"/>
      <c r="HW522" s="45"/>
      <c r="HX522" s="45"/>
      <c r="HY522" s="45"/>
    </row>
    <row r="523" spans="1:233" s="46" customFormat="1" ht="15" customHeight="1">
      <c r="A523" s="73" t="s">
        <v>44</v>
      </c>
      <c r="B523" s="26" t="s">
        <v>10</v>
      </c>
      <c r="C523" s="26" t="s">
        <v>13</v>
      </c>
      <c r="D523" s="26" t="s">
        <v>610</v>
      </c>
      <c r="E523" s="26" t="s">
        <v>67</v>
      </c>
      <c r="F523" s="26" t="s">
        <v>44</v>
      </c>
      <c r="G523" s="26" t="s">
        <v>128</v>
      </c>
      <c r="H523" s="26" t="s">
        <v>22</v>
      </c>
      <c r="I523" s="26" t="s">
        <v>641</v>
      </c>
      <c r="J523" s="26" t="s">
        <v>16</v>
      </c>
      <c r="K523" s="27" t="s">
        <v>25</v>
      </c>
      <c r="L523" s="26">
        <f t="shared" ref="L523:M523" si="92">L531+L539</f>
        <v>479</v>
      </c>
      <c r="M523" s="26">
        <f t="shared" si="92"/>
        <v>227</v>
      </c>
      <c r="N523" s="82">
        <f t="shared" si="89"/>
        <v>47.390396659707726</v>
      </c>
      <c r="O523" s="26">
        <f t="shared" ref="O523:P523" si="93">O531+O539</f>
        <v>480</v>
      </c>
      <c r="P523" s="26">
        <f t="shared" si="93"/>
        <v>35</v>
      </c>
      <c r="Q523" s="82">
        <f t="shared" si="91"/>
        <v>7.291666666666667</v>
      </c>
      <c r="R523" s="31">
        <v>28</v>
      </c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  <c r="BP523" s="45"/>
      <c r="BQ523" s="45"/>
      <c r="BR523" s="45"/>
      <c r="BS523" s="45"/>
      <c r="BT523" s="45"/>
      <c r="BU523" s="45"/>
      <c r="BV523" s="45"/>
      <c r="BW523" s="45"/>
      <c r="BX523" s="45"/>
      <c r="BY523" s="45"/>
      <c r="BZ523" s="45"/>
      <c r="CA523" s="45"/>
      <c r="CB523" s="45"/>
      <c r="CC523" s="45"/>
      <c r="CD523" s="45"/>
      <c r="CE523" s="45"/>
      <c r="CF523" s="45"/>
      <c r="CG523" s="45"/>
      <c r="CH523" s="45"/>
      <c r="CI523" s="45"/>
      <c r="CJ523" s="45"/>
      <c r="CK523" s="45"/>
      <c r="CL523" s="45"/>
      <c r="CM523" s="45"/>
      <c r="CN523" s="45"/>
      <c r="CO523" s="45"/>
      <c r="CP523" s="45"/>
      <c r="CQ523" s="45"/>
      <c r="CR523" s="45"/>
      <c r="CS523" s="45"/>
      <c r="CT523" s="45"/>
      <c r="CU523" s="45"/>
      <c r="CV523" s="45"/>
      <c r="CW523" s="45"/>
      <c r="CX523" s="45"/>
      <c r="CY523" s="45"/>
      <c r="CZ523" s="45"/>
      <c r="DA523" s="45"/>
      <c r="DB523" s="45"/>
      <c r="DC523" s="45"/>
      <c r="DD523" s="45"/>
      <c r="DE523" s="45"/>
      <c r="DF523" s="45"/>
      <c r="DG523" s="45"/>
      <c r="DH523" s="45"/>
      <c r="DI523" s="45"/>
      <c r="DJ523" s="45"/>
      <c r="DK523" s="45"/>
      <c r="DL523" s="45"/>
      <c r="DM523" s="45"/>
      <c r="DN523" s="45"/>
      <c r="DO523" s="45"/>
      <c r="DP523" s="45"/>
      <c r="DQ523" s="45"/>
      <c r="DR523" s="45"/>
      <c r="DS523" s="45"/>
      <c r="DT523" s="45"/>
      <c r="DU523" s="45"/>
      <c r="DV523" s="45"/>
      <c r="DW523" s="45"/>
      <c r="DX523" s="45"/>
      <c r="DY523" s="45"/>
      <c r="DZ523" s="45"/>
      <c r="EA523" s="45"/>
      <c r="EB523" s="45"/>
      <c r="EC523" s="45"/>
      <c r="ED523" s="45"/>
      <c r="EE523" s="45"/>
      <c r="EF523" s="45"/>
      <c r="EG523" s="45"/>
      <c r="EH523" s="45"/>
      <c r="EI523" s="45"/>
      <c r="EJ523" s="45"/>
      <c r="EK523" s="45"/>
      <c r="EL523" s="45"/>
      <c r="EM523" s="45"/>
      <c r="EN523" s="45"/>
      <c r="EO523" s="45"/>
      <c r="EP523" s="45"/>
      <c r="EQ523" s="45"/>
      <c r="ER523" s="45"/>
      <c r="ES523" s="45"/>
      <c r="ET523" s="45"/>
      <c r="EU523" s="45"/>
      <c r="EV523" s="45"/>
      <c r="EW523" s="45"/>
      <c r="EX523" s="45"/>
      <c r="EY523" s="45"/>
      <c r="EZ523" s="45"/>
      <c r="FA523" s="45"/>
      <c r="FB523" s="45"/>
      <c r="FC523" s="45"/>
      <c r="FD523" s="45"/>
      <c r="FE523" s="45"/>
      <c r="FF523" s="45"/>
      <c r="FG523" s="45"/>
      <c r="FH523" s="45"/>
      <c r="FI523" s="45"/>
      <c r="FJ523" s="45"/>
      <c r="FK523" s="45"/>
      <c r="FL523" s="45"/>
      <c r="FM523" s="45"/>
      <c r="FN523" s="45"/>
      <c r="FO523" s="45"/>
      <c r="FP523" s="45"/>
      <c r="FQ523" s="45"/>
      <c r="FR523" s="45"/>
      <c r="FS523" s="45"/>
      <c r="FT523" s="45"/>
      <c r="FU523" s="45"/>
      <c r="FV523" s="45"/>
      <c r="FW523" s="45"/>
      <c r="FX523" s="45"/>
      <c r="FY523" s="45"/>
      <c r="FZ523" s="45"/>
      <c r="GA523" s="45"/>
      <c r="GB523" s="45"/>
      <c r="GC523" s="45"/>
      <c r="GD523" s="45"/>
      <c r="GE523" s="45"/>
      <c r="GF523" s="45"/>
      <c r="GG523" s="45"/>
      <c r="GH523" s="45"/>
      <c r="GI523" s="45"/>
      <c r="GJ523" s="45"/>
      <c r="GK523" s="45"/>
      <c r="GL523" s="45"/>
      <c r="GM523" s="45"/>
      <c r="GN523" s="45"/>
      <c r="GO523" s="45"/>
      <c r="GP523" s="45"/>
      <c r="GQ523" s="45"/>
      <c r="GR523" s="45"/>
      <c r="GS523" s="45"/>
      <c r="GT523" s="45"/>
      <c r="GU523" s="45"/>
      <c r="GV523" s="45"/>
      <c r="GW523" s="45"/>
      <c r="GX523" s="45"/>
      <c r="GY523" s="45"/>
      <c r="GZ523" s="45"/>
      <c r="HA523" s="45"/>
      <c r="HB523" s="45"/>
      <c r="HC523" s="45"/>
      <c r="HD523" s="45"/>
      <c r="HE523" s="45"/>
      <c r="HF523" s="45"/>
      <c r="HG523" s="45"/>
      <c r="HH523" s="45"/>
      <c r="HI523" s="45"/>
      <c r="HJ523" s="45"/>
      <c r="HK523" s="45"/>
      <c r="HL523" s="45"/>
      <c r="HM523" s="45"/>
      <c r="HN523" s="45"/>
      <c r="HO523" s="45"/>
      <c r="HP523" s="45"/>
      <c r="HQ523" s="45"/>
      <c r="HR523" s="45"/>
      <c r="HS523" s="45"/>
      <c r="HT523" s="45"/>
      <c r="HU523" s="45"/>
      <c r="HV523" s="45"/>
      <c r="HW523" s="45"/>
      <c r="HX523" s="45"/>
      <c r="HY523" s="45"/>
    </row>
    <row r="524" spans="1:233" s="46" customFormat="1" ht="15" customHeight="1">
      <c r="A524" s="73" t="s">
        <v>44</v>
      </c>
      <c r="B524" s="26" t="s">
        <v>10</v>
      </c>
      <c r="C524" s="26" t="s">
        <v>13</v>
      </c>
      <c r="D524" s="26" t="s">
        <v>610</v>
      </c>
      <c r="E524" s="26" t="s">
        <v>67</v>
      </c>
      <c r="F524" s="26" t="s">
        <v>44</v>
      </c>
      <c r="G524" s="26" t="s">
        <v>128</v>
      </c>
      <c r="H524" s="26" t="s">
        <v>22</v>
      </c>
      <c r="I524" s="26" t="s">
        <v>641</v>
      </c>
      <c r="J524" s="26" t="s">
        <v>16</v>
      </c>
      <c r="K524" s="27" t="s">
        <v>26</v>
      </c>
      <c r="L524" s="26">
        <f t="shared" ref="L524:M524" si="94">L532+L540</f>
        <v>393</v>
      </c>
      <c r="M524" s="26">
        <f t="shared" si="94"/>
        <v>211</v>
      </c>
      <c r="N524" s="82">
        <f t="shared" si="89"/>
        <v>53.689567430025448</v>
      </c>
      <c r="O524" s="26">
        <f t="shared" ref="O524:P524" si="95">O532+O540</f>
        <v>392</v>
      </c>
      <c r="P524" s="26">
        <f t="shared" si="95"/>
        <v>52</v>
      </c>
      <c r="Q524" s="82">
        <f t="shared" si="91"/>
        <v>13.26530612244898</v>
      </c>
      <c r="R524" s="31">
        <v>28</v>
      </c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  <c r="BP524" s="45"/>
      <c r="BQ524" s="45"/>
      <c r="BR524" s="45"/>
      <c r="BS524" s="45"/>
      <c r="BT524" s="45"/>
      <c r="BU524" s="45"/>
      <c r="BV524" s="45"/>
      <c r="BW524" s="45"/>
      <c r="BX524" s="45"/>
      <c r="BY524" s="45"/>
      <c r="BZ524" s="45"/>
      <c r="CA524" s="45"/>
      <c r="CB524" s="45"/>
      <c r="CC524" s="45"/>
      <c r="CD524" s="45"/>
      <c r="CE524" s="45"/>
      <c r="CF524" s="45"/>
      <c r="CG524" s="45"/>
      <c r="CH524" s="45"/>
      <c r="CI524" s="45"/>
      <c r="CJ524" s="45"/>
      <c r="CK524" s="45"/>
      <c r="CL524" s="45"/>
      <c r="CM524" s="45"/>
      <c r="CN524" s="45"/>
      <c r="CO524" s="45"/>
      <c r="CP524" s="45"/>
      <c r="CQ524" s="45"/>
      <c r="CR524" s="45"/>
      <c r="CS524" s="45"/>
      <c r="CT524" s="45"/>
      <c r="CU524" s="45"/>
      <c r="CV524" s="45"/>
      <c r="CW524" s="45"/>
      <c r="CX524" s="45"/>
      <c r="CY524" s="45"/>
      <c r="CZ524" s="45"/>
      <c r="DA524" s="45"/>
      <c r="DB524" s="45"/>
      <c r="DC524" s="45"/>
      <c r="DD524" s="45"/>
      <c r="DE524" s="45"/>
      <c r="DF524" s="45"/>
      <c r="DG524" s="45"/>
      <c r="DH524" s="45"/>
      <c r="DI524" s="45"/>
      <c r="DJ524" s="45"/>
      <c r="DK524" s="45"/>
      <c r="DL524" s="45"/>
      <c r="DM524" s="45"/>
      <c r="DN524" s="45"/>
      <c r="DO524" s="45"/>
      <c r="DP524" s="45"/>
      <c r="DQ524" s="45"/>
      <c r="DR524" s="45"/>
      <c r="DS524" s="45"/>
      <c r="DT524" s="45"/>
      <c r="DU524" s="45"/>
      <c r="DV524" s="45"/>
      <c r="DW524" s="45"/>
      <c r="DX524" s="45"/>
      <c r="DY524" s="45"/>
      <c r="DZ524" s="45"/>
      <c r="EA524" s="45"/>
      <c r="EB524" s="45"/>
      <c r="EC524" s="45"/>
      <c r="ED524" s="45"/>
      <c r="EE524" s="45"/>
      <c r="EF524" s="45"/>
      <c r="EG524" s="45"/>
      <c r="EH524" s="45"/>
      <c r="EI524" s="45"/>
      <c r="EJ524" s="45"/>
      <c r="EK524" s="45"/>
      <c r="EL524" s="45"/>
      <c r="EM524" s="45"/>
      <c r="EN524" s="45"/>
      <c r="EO524" s="45"/>
      <c r="EP524" s="45"/>
      <c r="EQ524" s="45"/>
      <c r="ER524" s="45"/>
      <c r="ES524" s="45"/>
      <c r="ET524" s="45"/>
      <c r="EU524" s="45"/>
      <c r="EV524" s="45"/>
      <c r="EW524" s="45"/>
      <c r="EX524" s="45"/>
      <c r="EY524" s="45"/>
      <c r="EZ524" s="45"/>
      <c r="FA524" s="45"/>
      <c r="FB524" s="45"/>
      <c r="FC524" s="45"/>
      <c r="FD524" s="45"/>
      <c r="FE524" s="45"/>
      <c r="FF524" s="45"/>
      <c r="FG524" s="45"/>
      <c r="FH524" s="45"/>
      <c r="FI524" s="45"/>
      <c r="FJ524" s="45"/>
      <c r="FK524" s="45"/>
      <c r="FL524" s="45"/>
      <c r="FM524" s="45"/>
      <c r="FN524" s="45"/>
      <c r="FO524" s="45"/>
      <c r="FP524" s="45"/>
      <c r="FQ524" s="45"/>
      <c r="FR524" s="45"/>
      <c r="FS524" s="45"/>
      <c r="FT524" s="45"/>
      <c r="FU524" s="45"/>
      <c r="FV524" s="45"/>
      <c r="FW524" s="45"/>
      <c r="FX524" s="45"/>
      <c r="FY524" s="45"/>
      <c r="FZ524" s="45"/>
      <c r="GA524" s="45"/>
      <c r="GB524" s="45"/>
      <c r="GC524" s="45"/>
      <c r="GD524" s="45"/>
      <c r="GE524" s="45"/>
      <c r="GF524" s="45"/>
      <c r="GG524" s="45"/>
      <c r="GH524" s="45"/>
      <c r="GI524" s="45"/>
      <c r="GJ524" s="45"/>
      <c r="GK524" s="45"/>
      <c r="GL524" s="45"/>
      <c r="GM524" s="45"/>
      <c r="GN524" s="45"/>
      <c r="GO524" s="45"/>
      <c r="GP524" s="45"/>
      <c r="GQ524" s="45"/>
      <c r="GR524" s="45"/>
      <c r="GS524" s="45"/>
      <c r="GT524" s="45"/>
      <c r="GU524" s="45"/>
      <c r="GV524" s="45"/>
      <c r="GW524" s="45"/>
      <c r="GX524" s="45"/>
      <c r="GY524" s="45"/>
      <c r="GZ524" s="45"/>
      <c r="HA524" s="45"/>
      <c r="HB524" s="45"/>
      <c r="HC524" s="45"/>
      <c r="HD524" s="45"/>
      <c r="HE524" s="45"/>
      <c r="HF524" s="45"/>
      <c r="HG524" s="45"/>
      <c r="HH524" s="45"/>
      <c r="HI524" s="45"/>
      <c r="HJ524" s="45"/>
      <c r="HK524" s="45"/>
      <c r="HL524" s="45"/>
      <c r="HM524" s="45"/>
      <c r="HN524" s="45"/>
      <c r="HO524" s="45"/>
      <c r="HP524" s="45"/>
      <c r="HQ524" s="45"/>
      <c r="HR524" s="45"/>
      <c r="HS524" s="45"/>
      <c r="HT524" s="45"/>
      <c r="HU524" s="45"/>
      <c r="HV524" s="45"/>
      <c r="HW524" s="45"/>
      <c r="HX524" s="45"/>
      <c r="HY524" s="45"/>
    </row>
    <row r="525" spans="1:233" s="46" customFormat="1" ht="15" customHeight="1">
      <c r="A525" s="73" t="s">
        <v>44</v>
      </c>
      <c r="B525" s="26" t="s">
        <v>10</v>
      </c>
      <c r="C525" s="26" t="s">
        <v>13</v>
      </c>
      <c r="D525" s="26" t="s">
        <v>610</v>
      </c>
      <c r="E525" s="26" t="s">
        <v>67</v>
      </c>
      <c r="F525" s="26" t="s">
        <v>44</v>
      </c>
      <c r="G525" s="26" t="s">
        <v>128</v>
      </c>
      <c r="H525" s="26" t="s">
        <v>22</v>
      </c>
      <c r="I525" s="26" t="s">
        <v>641</v>
      </c>
      <c r="J525" s="26" t="s">
        <v>16</v>
      </c>
      <c r="K525" s="27" t="s">
        <v>27</v>
      </c>
      <c r="L525" s="26">
        <f t="shared" ref="L525:M525" si="96">L533+L541</f>
        <v>439</v>
      </c>
      <c r="M525" s="26">
        <f t="shared" si="96"/>
        <v>260</v>
      </c>
      <c r="N525" s="82">
        <f t="shared" si="89"/>
        <v>59.225512528473807</v>
      </c>
      <c r="O525" s="26">
        <f t="shared" ref="O525:P525" si="97">O533+O541</f>
        <v>439</v>
      </c>
      <c r="P525" s="26">
        <f t="shared" si="97"/>
        <v>80</v>
      </c>
      <c r="Q525" s="82">
        <f t="shared" si="91"/>
        <v>18.223234624145785</v>
      </c>
      <c r="R525" s="31">
        <v>28</v>
      </c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  <c r="BP525" s="45"/>
      <c r="BQ525" s="45"/>
      <c r="BR525" s="45"/>
      <c r="BS525" s="45"/>
      <c r="BT525" s="45"/>
      <c r="BU525" s="45"/>
      <c r="BV525" s="45"/>
      <c r="BW525" s="45"/>
      <c r="BX525" s="45"/>
      <c r="BY525" s="45"/>
      <c r="BZ525" s="45"/>
      <c r="CA525" s="45"/>
      <c r="CB525" s="45"/>
      <c r="CC525" s="45"/>
      <c r="CD525" s="45"/>
      <c r="CE525" s="45"/>
      <c r="CF525" s="45"/>
      <c r="CG525" s="45"/>
      <c r="CH525" s="45"/>
      <c r="CI525" s="45"/>
      <c r="CJ525" s="45"/>
      <c r="CK525" s="45"/>
      <c r="CL525" s="45"/>
      <c r="CM525" s="45"/>
      <c r="CN525" s="45"/>
      <c r="CO525" s="45"/>
      <c r="CP525" s="45"/>
      <c r="CQ525" s="45"/>
      <c r="CR525" s="45"/>
      <c r="CS525" s="45"/>
      <c r="CT525" s="45"/>
      <c r="CU525" s="45"/>
      <c r="CV525" s="45"/>
      <c r="CW525" s="45"/>
      <c r="CX525" s="45"/>
      <c r="CY525" s="45"/>
      <c r="CZ525" s="45"/>
      <c r="DA525" s="45"/>
      <c r="DB525" s="45"/>
      <c r="DC525" s="45"/>
      <c r="DD525" s="45"/>
      <c r="DE525" s="45"/>
      <c r="DF525" s="45"/>
      <c r="DG525" s="45"/>
      <c r="DH525" s="45"/>
      <c r="DI525" s="45"/>
      <c r="DJ525" s="45"/>
      <c r="DK525" s="45"/>
      <c r="DL525" s="45"/>
      <c r="DM525" s="45"/>
      <c r="DN525" s="45"/>
      <c r="DO525" s="45"/>
      <c r="DP525" s="45"/>
      <c r="DQ525" s="45"/>
      <c r="DR525" s="45"/>
      <c r="DS525" s="45"/>
      <c r="DT525" s="45"/>
      <c r="DU525" s="45"/>
      <c r="DV525" s="45"/>
      <c r="DW525" s="45"/>
      <c r="DX525" s="45"/>
      <c r="DY525" s="45"/>
      <c r="DZ525" s="45"/>
      <c r="EA525" s="45"/>
      <c r="EB525" s="45"/>
      <c r="EC525" s="45"/>
      <c r="ED525" s="45"/>
      <c r="EE525" s="45"/>
      <c r="EF525" s="45"/>
      <c r="EG525" s="45"/>
      <c r="EH525" s="45"/>
      <c r="EI525" s="45"/>
      <c r="EJ525" s="45"/>
      <c r="EK525" s="45"/>
      <c r="EL525" s="45"/>
      <c r="EM525" s="45"/>
      <c r="EN525" s="45"/>
      <c r="EO525" s="45"/>
      <c r="EP525" s="45"/>
      <c r="EQ525" s="45"/>
      <c r="ER525" s="45"/>
      <c r="ES525" s="45"/>
      <c r="ET525" s="45"/>
      <c r="EU525" s="45"/>
      <c r="EV525" s="45"/>
      <c r="EW525" s="45"/>
      <c r="EX525" s="45"/>
      <c r="EY525" s="45"/>
      <c r="EZ525" s="45"/>
      <c r="FA525" s="45"/>
      <c r="FB525" s="45"/>
      <c r="FC525" s="45"/>
      <c r="FD525" s="45"/>
      <c r="FE525" s="45"/>
      <c r="FF525" s="45"/>
      <c r="FG525" s="45"/>
      <c r="FH525" s="45"/>
      <c r="FI525" s="45"/>
      <c r="FJ525" s="45"/>
      <c r="FK525" s="45"/>
      <c r="FL525" s="45"/>
      <c r="FM525" s="45"/>
      <c r="FN525" s="45"/>
      <c r="FO525" s="45"/>
      <c r="FP525" s="45"/>
      <c r="FQ525" s="45"/>
      <c r="FR525" s="45"/>
      <c r="FS525" s="45"/>
      <c r="FT525" s="45"/>
      <c r="FU525" s="45"/>
      <c r="FV525" s="45"/>
      <c r="FW525" s="45"/>
      <c r="FX525" s="45"/>
      <c r="FY525" s="45"/>
      <c r="FZ525" s="45"/>
      <c r="GA525" s="45"/>
      <c r="GB525" s="45"/>
      <c r="GC525" s="45"/>
      <c r="GD525" s="45"/>
      <c r="GE525" s="45"/>
      <c r="GF525" s="45"/>
      <c r="GG525" s="45"/>
      <c r="GH525" s="45"/>
      <c r="GI525" s="45"/>
      <c r="GJ525" s="45"/>
      <c r="GK525" s="45"/>
      <c r="GL525" s="45"/>
      <c r="GM525" s="45"/>
      <c r="GN525" s="45"/>
      <c r="GO525" s="45"/>
      <c r="GP525" s="45"/>
      <c r="GQ525" s="45"/>
      <c r="GR525" s="45"/>
      <c r="GS525" s="45"/>
      <c r="GT525" s="45"/>
      <c r="GU525" s="45"/>
      <c r="GV525" s="45"/>
      <c r="GW525" s="45"/>
      <c r="GX525" s="45"/>
      <c r="GY525" s="45"/>
      <c r="GZ525" s="45"/>
      <c r="HA525" s="45"/>
      <c r="HB525" s="45"/>
      <c r="HC525" s="45"/>
      <c r="HD525" s="45"/>
      <c r="HE525" s="45"/>
      <c r="HF525" s="45"/>
      <c r="HG525" s="45"/>
      <c r="HH525" s="45"/>
      <c r="HI525" s="45"/>
      <c r="HJ525" s="45"/>
      <c r="HK525" s="45"/>
      <c r="HL525" s="45"/>
      <c r="HM525" s="45"/>
      <c r="HN525" s="45"/>
      <c r="HO525" s="45"/>
      <c r="HP525" s="45"/>
      <c r="HQ525" s="45"/>
      <c r="HR525" s="45"/>
      <c r="HS525" s="45"/>
      <c r="HT525" s="45"/>
      <c r="HU525" s="45"/>
      <c r="HV525" s="45"/>
      <c r="HW525" s="45"/>
      <c r="HX525" s="45"/>
      <c r="HY525" s="45"/>
    </row>
    <row r="526" spans="1:233" s="46" customFormat="1" ht="15" customHeight="1">
      <c r="A526" s="73" t="s">
        <v>44</v>
      </c>
      <c r="B526" s="26" t="s">
        <v>10</v>
      </c>
      <c r="C526" s="26" t="s">
        <v>13</v>
      </c>
      <c r="D526" s="26" t="s">
        <v>610</v>
      </c>
      <c r="E526" s="26" t="s">
        <v>67</v>
      </c>
      <c r="F526" s="26" t="s">
        <v>44</v>
      </c>
      <c r="G526" s="26" t="s">
        <v>128</v>
      </c>
      <c r="H526" s="26" t="s">
        <v>22</v>
      </c>
      <c r="I526" s="26" t="s">
        <v>641</v>
      </c>
      <c r="J526" s="26" t="s">
        <v>16</v>
      </c>
      <c r="K526" s="27" t="s">
        <v>28</v>
      </c>
      <c r="L526" s="26">
        <f t="shared" ref="L526:M526" si="98">L534+L542</f>
        <v>421</v>
      </c>
      <c r="M526" s="26">
        <f t="shared" si="98"/>
        <v>285</v>
      </c>
      <c r="N526" s="82">
        <f t="shared" si="89"/>
        <v>67.695961995249405</v>
      </c>
      <c r="O526" s="26">
        <f t="shared" ref="O526:P526" si="99">O534+O542</f>
        <v>423</v>
      </c>
      <c r="P526" s="26">
        <f t="shared" si="99"/>
        <v>97</v>
      </c>
      <c r="Q526" s="82">
        <f t="shared" si="91"/>
        <v>22.93144208037825</v>
      </c>
      <c r="R526" s="31">
        <v>28</v>
      </c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  <c r="BP526" s="45"/>
      <c r="BQ526" s="45"/>
      <c r="BR526" s="45"/>
      <c r="BS526" s="45"/>
      <c r="BT526" s="45"/>
      <c r="BU526" s="45"/>
      <c r="BV526" s="45"/>
      <c r="BW526" s="45"/>
      <c r="BX526" s="45"/>
      <c r="BY526" s="45"/>
      <c r="BZ526" s="45"/>
      <c r="CA526" s="45"/>
      <c r="CB526" s="45"/>
      <c r="CC526" s="45"/>
      <c r="CD526" s="45"/>
      <c r="CE526" s="45"/>
      <c r="CF526" s="45"/>
      <c r="CG526" s="45"/>
      <c r="CH526" s="45"/>
      <c r="CI526" s="45"/>
      <c r="CJ526" s="45"/>
      <c r="CK526" s="45"/>
      <c r="CL526" s="45"/>
      <c r="CM526" s="45"/>
      <c r="CN526" s="45"/>
      <c r="CO526" s="45"/>
      <c r="CP526" s="45"/>
      <c r="CQ526" s="45"/>
      <c r="CR526" s="45"/>
      <c r="CS526" s="45"/>
      <c r="CT526" s="45"/>
      <c r="CU526" s="45"/>
      <c r="CV526" s="45"/>
      <c r="CW526" s="45"/>
      <c r="CX526" s="45"/>
      <c r="CY526" s="45"/>
      <c r="CZ526" s="45"/>
      <c r="DA526" s="45"/>
      <c r="DB526" s="45"/>
      <c r="DC526" s="45"/>
      <c r="DD526" s="45"/>
      <c r="DE526" s="45"/>
      <c r="DF526" s="45"/>
      <c r="DG526" s="45"/>
      <c r="DH526" s="45"/>
      <c r="DI526" s="45"/>
      <c r="DJ526" s="45"/>
      <c r="DK526" s="45"/>
      <c r="DL526" s="45"/>
      <c r="DM526" s="45"/>
      <c r="DN526" s="45"/>
      <c r="DO526" s="45"/>
      <c r="DP526" s="45"/>
      <c r="DQ526" s="45"/>
      <c r="DR526" s="45"/>
      <c r="DS526" s="45"/>
      <c r="DT526" s="45"/>
      <c r="DU526" s="45"/>
      <c r="DV526" s="45"/>
      <c r="DW526" s="45"/>
      <c r="DX526" s="45"/>
      <c r="DY526" s="45"/>
      <c r="DZ526" s="45"/>
      <c r="EA526" s="45"/>
      <c r="EB526" s="45"/>
      <c r="EC526" s="45"/>
      <c r="ED526" s="45"/>
      <c r="EE526" s="45"/>
      <c r="EF526" s="45"/>
      <c r="EG526" s="45"/>
      <c r="EH526" s="45"/>
      <c r="EI526" s="45"/>
      <c r="EJ526" s="45"/>
      <c r="EK526" s="45"/>
      <c r="EL526" s="45"/>
      <c r="EM526" s="45"/>
      <c r="EN526" s="45"/>
      <c r="EO526" s="45"/>
      <c r="EP526" s="45"/>
      <c r="EQ526" s="45"/>
      <c r="ER526" s="45"/>
      <c r="ES526" s="45"/>
      <c r="ET526" s="45"/>
      <c r="EU526" s="45"/>
      <c r="EV526" s="45"/>
      <c r="EW526" s="45"/>
      <c r="EX526" s="45"/>
      <c r="EY526" s="45"/>
      <c r="EZ526" s="45"/>
      <c r="FA526" s="45"/>
      <c r="FB526" s="45"/>
      <c r="FC526" s="45"/>
      <c r="FD526" s="45"/>
      <c r="FE526" s="45"/>
      <c r="FF526" s="45"/>
      <c r="FG526" s="45"/>
      <c r="FH526" s="45"/>
      <c r="FI526" s="45"/>
      <c r="FJ526" s="45"/>
      <c r="FK526" s="45"/>
      <c r="FL526" s="45"/>
      <c r="FM526" s="45"/>
      <c r="FN526" s="45"/>
      <c r="FO526" s="45"/>
      <c r="FP526" s="45"/>
      <c r="FQ526" s="45"/>
      <c r="FR526" s="45"/>
      <c r="FS526" s="45"/>
      <c r="FT526" s="45"/>
      <c r="FU526" s="45"/>
      <c r="FV526" s="45"/>
      <c r="FW526" s="45"/>
      <c r="FX526" s="45"/>
      <c r="FY526" s="45"/>
      <c r="FZ526" s="45"/>
      <c r="GA526" s="45"/>
      <c r="GB526" s="45"/>
      <c r="GC526" s="45"/>
      <c r="GD526" s="45"/>
      <c r="GE526" s="45"/>
      <c r="GF526" s="45"/>
      <c r="GG526" s="45"/>
      <c r="GH526" s="45"/>
      <c r="GI526" s="45"/>
      <c r="GJ526" s="45"/>
      <c r="GK526" s="45"/>
      <c r="GL526" s="45"/>
      <c r="GM526" s="45"/>
      <c r="GN526" s="45"/>
      <c r="GO526" s="45"/>
      <c r="GP526" s="45"/>
      <c r="GQ526" s="45"/>
      <c r="GR526" s="45"/>
      <c r="GS526" s="45"/>
      <c r="GT526" s="45"/>
      <c r="GU526" s="45"/>
      <c r="GV526" s="45"/>
      <c r="GW526" s="45"/>
      <c r="GX526" s="45"/>
      <c r="GY526" s="45"/>
      <c r="GZ526" s="45"/>
      <c r="HA526" s="45"/>
      <c r="HB526" s="45"/>
      <c r="HC526" s="45"/>
      <c r="HD526" s="45"/>
      <c r="HE526" s="45"/>
      <c r="HF526" s="45"/>
      <c r="HG526" s="45"/>
      <c r="HH526" s="45"/>
      <c r="HI526" s="45"/>
      <c r="HJ526" s="45"/>
      <c r="HK526" s="45"/>
      <c r="HL526" s="45"/>
      <c r="HM526" s="45"/>
      <c r="HN526" s="45"/>
      <c r="HO526" s="45"/>
      <c r="HP526" s="45"/>
      <c r="HQ526" s="45"/>
      <c r="HR526" s="45"/>
      <c r="HS526" s="45"/>
      <c r="HT526" s="45"/>
      <c r="HU526" s="45"/>
      <c r="HV526" s="45"/>
      <c r="HW526" s="45"/>
      <c r="HX526" s="45"/>
      <c r="HY526" s="45"/>
    </row>
    <row r="527" spans="1:233" s="46" customFormat="1" ht="15" customHeight="1">
      <c r="A527" s="73" t="s">
        <v>44</v>
      </c>
      <c r="B527" s="26" t="s">
        <v>10</v>
      </c>
      <c r="C527" s="26" t="s">
        <v>13</v>
      </c>
      <c r="D527" s="26" t="s">
        <v>610</v>
      </c>
      <c r="E527" s="26" t="s">
        <v>67</v>
      </c>
      <c r="F527" s="26" t="s">
        <v>44</v>
      </c>
      <c r="G527" s="26" t="s">
        <v>128</v>
      </c>
      <c r="H527" s="26" t="s">
        <v>22</v>
      </c>
      <c r="I527" s="26" t="s">
        <v>641</v>
      </c>
      <c r="J527" s="26" t="s">
        <v>16</v>
      </c>
      <c r="K527" s="27" t="s">
        <v>72</v>
      </c>
      <c r="L527" s="26">
        <f t="shared" ref="L527:M527" si="100">L535+L543</f>
        <v>409</v>
      </c>
      <c r="M527" s="26">
        <f t="shared" si="100"/>
        <v>314</v>
      </c>
      <c r="N527" s="82">
        <f t="shared" si="89"/>
        <v>76.772616136919311</v>
      </c>
      <c r="O527" s="26">
        <f t="shared" ref="O527:P527" si="101">O535+O543</f>
        <v>408</v>
      </c>
      <c r="P527" s="26">
        <f t="shared" si="101"/>
        <v>126</v>
      </c>
      <c r="Q527" s="82">
        <f t="shared" si="91"/>
        <v>30.882352941176471</v>
      </c>
      <c r="R527" s="31">
        <v>28</v>
      </c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  <c r="BP527" s="45"/>
      <c r="BQ527" s="45"/>
      <c r="BR527" s="45"/>
      <c r="BS527" s="45"/>
      <c r="BT527" s="45"/>
      <c r="BU527" s="45"/>
      <c r="BV527" s="45"/>
      <c r="BW527" s="45"/>
      <c r="BX527" s="45"/>
      <c r="BY527" s="45"/>
      <c r="BZ527" s="45"/>
      <c r="CA527" s="45"/>
      <c r="CB527" s="45"/>
      <c r="CC527" s="45"/>
      <c r="CD527" s="45"/>
      <c r="CE527" s="45"/>
      <c r="CF527" s="45"/>
      <c r="CG527" s="45"/>
      <c r="CH527" s="45"/>
      <c r="CI527" s="45"/>
      <c r="CJ527" s="45"/>
      <c r="CK527" s="45"/>
      <c r="CL527" s="45"/>
      <c r="CM527" s="45"/>
      <c r="CN527" s="45"/>
      <c r="CO527" s="45"/>
      <c r="CP527" s="45"/>
      <c r="CQ527" s="45"/>
      <c r="CR527" s="45"/>
      <c r="CS527" s="45"/>
      <c r="CT527" s="45"/>
      <c r="CU527" s="45"/>
      <c r="CV527" s="45"/>
      <c r="CW527" s="45"/>
      <c r="CX527" s="45"/>
      <c r="CY527" s="45"/>
      <c r="CZ527" s="45"/>
      <c r="DA527" s="45"/>
      <c r="DB527" s="45"/>
      <c r="DC527" s="45"/>
      <c r="DD527" s="45"/>
      <c r="DE527" s="45"/>
      <c r="DF527" s="45"/>
      <c r="DG527" s="45"/>
      <c r="DH527" s="45"/>
      <c r="DI527" s="45"/>
      <c r="DJ527" s="45"/>
      <c r="DK527" s="45"/>
      <c r="DL527" s="45"/>
      <c r="DM527" s="45"/>
      <c r="DN527" s="45"/>
      <c r="DO527" s="45"/>
      <c r="DP527" s="45"/>
      <c r="DQ527" s="45"/>
      <c r="DR527" s="45"/>
      <c r="DS527" s="45"/>
      <c r="DT527" s="45"/>
      <c r="DU527" s="45"/>
      <c r="DV527" s="45"/>
      <c r="DW527" s="45"/>
      <c r="DX527" s="45"/>
      <c r="DY527" s="45"/>
      <c r="DZ527" s="45"/>
      <c r="EA527" s="45"/>
      <c r="EB527" s="45"/>
      <c r="EC527" s="45"/>
      <c r="ED527" s="45"/>
      <c r="EE527" s="45"/>
      <c r="EF527" s="45"/>
      <c r="EG527" s="45"/>
      <c r="EH527" s="45"/>
      <c r="EI527" s="45"/>
      <c r="EJ527" s="45"/>
      <c r="EK527" s="45"/>
      <c r="EL527" s="45"/>
      <c r="EM527" s="45"/>
      <c r="EN527" s="45"/>
      <c r="EO527" s="45"/>
      <c r="EP527" s="45"/>
      <c r="EQ527" s="45"/>
      <c r="ER527" s="45"/>
      <c r="ES527" s="45"/>
      <c r="ET527" s="45"/>
      <c r="EU527" s="45"/>
      <c r="EV527" s="45"/>
      <c r="EW527" s="45"/>
      <c r="EX527" s="45"/>
      <c r="EY527" s="45"/>
      <c r="EZ527" s="45"/>
      <c r="FA527" s="45"/>
      <c r="FB527" s="45"/>
      <c r="FC527" s="45"/>
      <c r="FD527" s="45"/>
      <c r="FE527" s="45"/>
      <c r="FF527" s="45"/>
      <c r="FG527" s="45"/>
      <c r="FH527" s="45"/>
      <c r="FI527" s="45"/>
      <c r="FJ527" s="45"/>
      <c r="FK527" s="45"/>
      <c r="FL527" s="45"/>
      <c r="FM527" s="45"/>
      <c r="FN527" s="45"/>
      <c r="FO527" s="45"/>
      <c r="FP527" s="45"/>
      <c r="FQ527" s="45"/>
      <c r="FR527" s="45"/>
      <c r="FS527" s="45"/>
      <c r="FT527" s="45"/>
      <c r="FU527" s="45"/>
      <c r="FV527" s="45"/>
      <c r="FW527" s="45"/>
      <c r="FX527" s="45"/>
      <c r="FY527" s="45"/>
      <c r="FZ527" s="45"/>
      <c r="GA527" s="45"/>
      <c r="GB527" s="45"/>
      <c r="GC527" s="45"/>
      <c r="GD527" s="45"/>
      <c r="GE527" s="45"/>
      <c r="GF527" s="45"/>
      <c r="GG527" s="45"/>
      <c r="GH527" s="45"/>
      <c r="GI527" s="45"/>
      <c r="GJ527" s="45"/>
      <c r="GK527" s="45"/>
      <c r="GL527" s="45"/>
      <c r="GM527" s="45"/>
      <c r="GN527" s="45"/>
      <c r="GO527" s="45"/>
      <c r="GP527" s="45"/>
      <c r="GQ527" s="45"/>
      <c r="GR527" s="45"/>
      <c r="GS527" s="45"/>
      <c r="GT527" s="45"/>
      <c r="GU527" s="45"/>
      <c r="GV527" s="45"/>
      <c r="GW527" s="45"/>
      <c r="GX527" s="45"/>
      <c r="GY527" s="45"/>
      <c r="GZ527" s="45"/>
      <c r="HA527" s="45"/>
      <c r="HB527" s="45"/>
      <c r="HC527" s="45"/>
      <c r="HD527" s="45"/>
      <c r="HE527" s="45"/>
      <c r="HF527" s="45"/>
      <c r="HG527" s="45"/>
      <c r="HH527" s="45"/>
      <c r="HI527" s="45"/>
      <c r="HJ527" s="45"/>
      <c r="HK527" s="45"/>
      <c r="HL527" s="45"/>
      <c r="HM527" s="45"/>
      <c r="HN527" s="45"/>
      <c r="HO527" s="45"/>
      <c r="HP527" s="45"/>
      <c r="HQ527" s="45"/>
      <c r="HR527" s="45"/>
      <c r="HS527" s="45"/>
      <c r="HT527" s="45"/>
      <c r="HU527" s="45"/>
      <c r="HV527" s="45"/>
      <c r="HW527" s="45"/>
      <c r="HX527" s="45"/>
      <c r="HY527" s="45"/>
    </row>
    <row r="528" spans="1:233" s="46" customFormat="1" ht="15" customHeight="1">
      <c r="A528" s="73" t="s">
        <v>44</v>
      </c>
      <c r="B528" s="26" t="s">
        <v>10</v>
      </c>
      <c r="C528" s="26" t="s">
        <v>13</v>
      </c>
      <c r="D528" s="26" t="s">
        <v>610</v>
      </c>
      <c r="E528" s="26" t="s">
        <v>67</v>
      </c>
      <c r="F528" s="26" t="s">
        <v>44</v>
      </c>
      <c r="G528" s="26" t="s">
        <v>128</v>
      </c>
      <c r="H528" s="26" t="s">
        <v>22</v>
      </c>
      <c r="I528" s="26" t="s">
        <v>641</v>
      </c>
      <c r="J528" s="26" t="s">
        <v>16</v>
      </c>
      <c r="K528" s="27" t="s">
        <v>73</v>
      </c>
      <c r="L528" s="26">
        <f t="shared" ref="L528:M528" si="102">L536+L544</f>
        <v>393</v>
      </c>
      <c r="M528" s="26">
        <f t="shared" si="102"/>
        <v>300</v>
      </c>
      <c r="N528" s="82">
        <f t="shared" si="89"/>
        <v>76.335877862595424</v>
      </c>
      <c r="O528" s="26">
        <f t="shared" ref="O528:P528" si="103">O536+O544</f>
        <v>392</v>
      </c>
      <c r="P528" s="26">
        <f t="shared" si="103"/>
        <v>136</v>
      </c>
      <c r="Q528" s="82">
        <f t="shared" si="91"/>
        <v>34.693877551020407</v>
      </c>
      <c r="R528" s="31">
        <v>28</v>
      </c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  <c r="BP528" s="45"/>
      <c r="BQ528" s="45"/>
      <c r="BR528" s="45"/>
      <c r="BS528" s="45"/>
      <c r="BT528" s="45"/>
      <c r="BU528" s="45"/>
      <c r="BV528" s="45"/>
      <c r="BW528" s="45"/>
      <c r="BX528" s="45"/>
      <c r="BY528" s="45"/>
      <c r="BZ528" s="45"/>
      <c r="CA528" s="45"/>
      <c r="CB528" s="45"/>
      <c r="CC528" s="45"/>
      <c r="CD528" s="45"/>
      <c r="CE528" s="45"/>
      <c r="CF528" s="45"/>
      <c r="CG528" s="45"/>
      <c r="CH528" s="45"/>
      <c r="CI528" s="45"/>
      <c r="CJ528" s="45"/>
      <c r="CK528" s="45"/>
      <c r="CL528" s="45"/>
      <c r="CM528" s="45"/>
      <c r="CN528" s="45"/>
      <c r="CO528" s="45"/>
      <c r="CP528" s="45"/>
      <c r="CQ528" s="45"/>
      <c r="CR528" s="45"/>
      <c r="CS528" s="45"/>
      <c r="CT528" s="45"/>
      <c r="CU528" s="45"/>
      <c r="CV528" s="45"/>
      <c r="CW528" s="45"/>
      <c r="CX528" s="45"/>
      <c r="CY528" s="45"/>
      <c r="CZ528" s="45"/>
      <c r="DA528" s="45"/>
      <c r="DB528" s="45"/>
      <c r="DC528" s="45"/>
      <c r="DD528" s="45"/>
      <c r="DE528" s="45"/>
      <c r="DF528" s="45"/>
      <c r="DG528" s="45"/>
      <c r="DH528" s="45"/>
      <c r="DI528" s="45"/>
      <c r="DJ528" s="45"/>
      <c r="DK528" s="45"/>
      <c r="DL528" s="45"/>
      <c r="DM528" s="45"/>
      <c r="DN528" s="45"/>
      <c r="DO528" s="45"/>
      <c r="DP528" s="45"/>
      <c r="DQ528" s="45"/>
      <c r="DR528" s="45"/>
      <c r="DS528" s="45"/>
      <c r="DT528" s="45"/>
      <c r="DU528" s="45"/>
      <c r="DV528" s="45"/>
      <c r="DW528" s="45"/>
      <c r="DX528" s="45"/>
      <c r="DY528" s="45"/>
      <c r="DZ528" s="45"/>
      <c r="EA528" s="45"/>
      <c r="EB528" s="45"/>
      <c r="EC528" s="45"/>
      <c r="ED528" s="45"/>
      <c r="EE528" s="45"/>
      <c r="EF528" s="45"/>
      <c r="EG528" s="45"/>
      <c r="EH528" s="45"/>
      <c r="EI528" s="45"/>
      <c r="EJ528" s="45"/>
      <c r="EK528" s="45"/>
      <c r="EL528" s="45"/>
      <c r="EM528" s="45"/>
      <c r="EN528" s="45"/>
      <c r="EO528" s="45"/>
      <c r="EP528" s="45"/>
      <c r="EQ528" s="45"/>
      <c r="ER528" s="45"/>
      <c r="ES528" s="45"/>
      <c r="ET528" s="45"/>
      <c r="EU528" s="45"/>
      <c r="EV528" s="45"/>
      <c r="EW528" s="45"/>
      <c r="EX528" s="45"/>
      <c r="EY528" s="45"/>
      <c r="EZ528" s="45"/>
      <c r="FA528" s="45"/>
      <c r="FB528" s="45"/>
      <c r="FC528" s="45"/>
      <c r="FD528" s="45"/>
      <c r="FE528" s="45"/>
      <c r="FF528" s="45"/>
      <c r="FG528" s="45"/>
      <c r="FH528" s="45"/>
      <c r="FI528" s="45"/>
      <c r="FJ528" s="45"/>
      <c r="FK528" s="45"/>
      <c r="FL528" s="45"/>
      <c r="FM528" s="45"/>
      <c r="FN528" s="45"/>
      <c r="FO528" s="45"/>
      <c r="FP528" s="45"/>
      <c r="FQ528" s="45"/>
      <c r="FR528" s="45"/>
      <c r="FS528" s="45"/>
      <c r="FT528" s="45"/>
      <c r="FU528" s="45"/>
      <c r="FV528" s="45"/>
      <c r="FW528" s="45"/>
      <c r="FX528" s="45"/>
      <c r="FY528" s="45"/>
      <c r="FZ528" s="45"/>
      <c r="GA528" s="45"/>
      <c r="GB528" s="45"/>
      <c r="GC528" s="45"/>
      <c r="GD528" s="45"/>
      <c r="GE528" s="45"/>
      <c r="GF528" s="45"/>
      <c r="GG528" s="45"/>
      <c r="GH528" s="45"/>
      <c r="GI528" s="45"/>
      <c r="GJ528" s="45"/>
      <c r="GK528" s="45"/>
      <c r="GL528" s="45"/>
      <c r="GM528" s="45"/>
      <c r="GN528" s="45"/>
      <c r="GO528" s="45"/>
      <c r="GP528" s="45"/>
      <c r="GQ528" s="45"/>
      <c r="GR528" s="45"/>
      <c r="GS528" s="45"/>
      <c r="GT528" s="45"/>
      <c r="GU528" s="45"/>
      <c r="GV528" s="45"/>
      <c r="GW528" s="45"/>
      <c r="GX528" s="45"/>
      <c r="GY528" s="45"/>
      <c r="GZ528" s="45"/>
      <c r="HA528" s="45"/>
      <c r="HB528" s="45"/>
      <c r="HC528" s="45"/>
      <c r="HD528" s="45"/>
      <c r="HE528" s="45"/>
      <c r="HF528" s="45"/>
      <c r="HG528" s="45"/>
      <c r="HH528" s="45"/>
      <c r="HI528" s="45"/>
      <c r="HJ528" s="45"/>
      <c r="HK528" s="45"/>
      <c r="HL528" s="45"/>
      <c r="HM528" s="45"/>
      <c r="HN528" s="45"/>
      <c r="HO528" s="45"/>
      <c r="HP528" s="45"/>
      <c r="HQ528" s="45"/>
      <c r="HR528" s="45"/>
      <c r="HS528" s="45"/>
      <c r="HT528" s="45"/>
      <c r="HU528" s="45"/>
      <c r="HV528" s="45"/>
      <c r="HW528" s="45"/>
      <c r="HX528" s="45"/>
      <c r="HY528" s="45"/>
    </row>
    <row r="529" spans="1:233" s="46" customFormat="1" ht="15" customHeight="1">
      <c r="A529" s="73" t="s">
        <v>44</v>
      </c>
      <c r="B529" s="26" t="s">
        <v>10</v>
      </c>
      <c r="C529" s="26" t="s">
        <v>13</v>
      </c>
      <c r="D529" s="26" t="s">
        <v>610</v>
      </c>
      <c r="E529" s="26" t="s">
        <v>67</v>
      </c>
      <c r="F529" s="26" t="s">
        <v>44</v>
      </c>
      <c r="G529" s="26" t="s">
        <v>128</v>
      </c>
      <c r="H529" s="26" t="s">
        <v>22</v>
      </c>
      <c r="I529" s="26" t="s">
        <v>641</v>
      </c>
      <c r="J529" s="26" t="s">
        <v>23</v>
      </c>
      <c r="K529" s="27" t="s">
        <v>142</v>
      </c>
      <c r="L529" s="26">
        <f>SUM(L530:L536)</f>
        <v>1587</v>
      </c>
      <c r="M529" s="26">
        <f t="shared" ref="M529" si="104">SUM(M530:M536)</f>
        <v>872</v>
      </c>
      <c r="N529" s="82">
        <f>M529*100/L529</f>
        <v>54.946439823566479</v>
      </c>
      <c r="O529" s="26">
        <f t="shared" ref="O529" si="105">SUM(O530:O536)</f>
        <v>1396</v>
      </c>
      <c r="P529" s="26">
        <f t="shared" ref="P529" si="106">SUM(P530:P536)</f>
        <v>183</v>
      </c>
      <c r="Q529" s="82">
        <f>P529*100/O529</f>
        <v>13.108882521489971</v>
      </c>
      <c r="R529" s="31">
        <v>28</v>
      </c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  <c r="BP529" s="45"/>
      <c r="BQ529" s="45"/>
      <c r="BR529" s="45"/>
      <c r="BS529" s="45"/>
      <c r="BT529" s="45"/>
      <c r="BU529" s="45"/>
      <c r="BV529" s="45"/>
      <c r="BW529" s="45"/>
      <c r="BX529" s="45"/>
      <c r="BY529" s="45"/>
      <c r="BZ529" s="45"/>
      <c r="CA529" s="45"/>
      <c r="CB529" s="45"/>
      <c r="CC529" s="45"/>
      <c r="CD529" s="45"/>
      <c r="CE529" s="45"/>
      <c r="CF529" s="45"/>
      <c r="CG529" s="45"/>
      <c r="CH529" s="45"/>
      <c r="CI529" s="45"/>
      <c r="CJ529" s="45"/>
      <c r="CK529" s="45"/>
      <c r="CL529" s="45"/>
      <c r="CM529" s="45"/>
      <c r="CN529" s="45"/>
      <c r="CO529" s="45"/>
      <c r="CP529" s="45"/>
      <c r="CQ529" s="45"/>
      <c r="CR529" s="45"/>
      <c r="CS529" s="45"/>
      <c r="CT529" s="45"/>
      <c r="CU529" s="45"/>
      <c r="CV529" s="45"/>
      <c r="CW529" s="45"/>
      <c r="CX529" s="45"/>
      <c r="CY529" s="45"/>
      <c r="CZ529" s="45"/>
      <c r="DA529" s="45"/>
      <c r="DB529" s="45"/>
      <c r="DC529" s="45"/>
      <c r="DD529" s="45"/>
      <c r="DE529" s="45"/>
      <c r="DF529" s="45"/>
      <c r="DG529" s="45"/>
      <c r="DH529" s="45"/>
      <c r="DI529" s="45"/>
      <c r="DJ529" s="45"/>
      <c r="DK529" s="45"/>
      <c r="DL529" s="45"/>
      <c r="DM529" s="45"/>
      <c r="DN529" s="45"/>
      <c r="DO529" s="45"/>
      <c r="DP529" s="45"/>
      <c r="DQ529" s="45"/>
      <c r="DR529" s="45"/>
      <c r="DS529" s="45"/>
      <c r="DT529" s="45"/>
      <c r="DU529" s="45"/>
      <c r="DV529" s="45"/>
      <c r="DW529" s="45"/>
      <c r="DX529" s="45"/>
      <c r="DY529" s="45"/>
      <c r="DZ529" s="45"/>
      <c r="EA529" s="45"/>
      <c r="EB529" s="45"/>
      <c r="EC529" s="45"/>
      <c r="ED529" s="45"/>
      <c r="EE529" s="45"/>
      <c r="EF529" s="45"/>
      <c r="EG529" s="45"/>
      <c r="EH529" s="45"/>
      <c r="EI529" s="45"/>
      <c r="EJ529" s="45"/>
      <c r="EK529" s="45"/>
      <c r="EL529" s="45"/>
      <c r="EM529" s="45"/>
      <c r="EN529" s="45"/>
      <c r="EO529" s="45"/>
      <c r="EP529" s="45"/>
      <c r="EQ529" s="45"/>
      <c r="ER529" s="45"/>
      <c r="ES529" s="45"/>
      <c r="ET529" s="45"/>
      <c r="EU529" s="45"/>
      <c r="EV529" s="45"/>
      <c r="EW529" s="45"/>
      <c r="EX529" s="45"/>
      <c r="EY529" s="45"/>
      <c r="EZ529" s="45"/>
      <c r="FA529" s="45"/>
      <c r="FB529" s="45"/>
      <c r="FC529" s="45"/>
      <c r="FD529" s="45"/>
      <c r="FE529" s="45"/>
      <c r="FF529" s="45"/>
      <c r="FG529" s="45"/>
      <c r="FH529" s="45"/>
      <c r="FI529" s="45"/>
      <c r="FJ529" s="45"/>
      <c r="FK529" s="45"/>
      <c r="FL529" s="45"/>
      <c r="FM529" s="45"/>
      <c r="FN529" s="45"/>
      <c r="FO529" s="45"/>
      <c r="FP529" s="45"/>
      <c r="FQ529" s="45"/>
      <c r="FR529" s="45"/>
      <c r="FS529" s="45"/>
      <c r="FT529" s="45"/>
      <c r="FU529" s="45"/>
      <c r="FV529" s="45"/>
      <c r="FW529" s="45"/>
      <c r="FX529" s="45"/>
      <c r="FY529" s="45"/>
      <c r="FZ529" s="45"/>
      <c r="GA529" s="45"/>
      <c r="GB529" s="45"/>
      <c r="GC529" s="45"/>
      <c r="GD529" s="45"/>
      <c r="GE529" s="45"/>
      <c r="GF529" s="45"/>
      <c r="GG529" s="45"/>
      <c r="GH529" s="45"/>
      <c r="GI529" s="45"/>
      <c r="GJ529" s="45"/>
      <c r="GK529" s="45"/>
      <c r="GL529" s="45"/>
      <c r="GM529" s="45"/>
      <c r="GN529" s="45"/>
      <c r="GO529" s="45"/>
      <c r="GP529" s="45"/>
      <c r="GQ529" s="45"/>
      <c r="GR529" s="45"/>
      <c r="GS529" s="45"/>
      <c r="GT529" s="45"/>
      <c r="GU529" s="45"/>
      <c r="GV529" s="45"/>
      <c r="GW529" s="45"/>
      <c r="GX529" s="45"/>
      <c r="GY529" s="45"/>
      <c r="GZ529" s="45"/>
      <c r="HA529" s="45"/>
      <c r="HB529" s="45"/>
      <c r="HC529" s="45"/>
      <c r="HD529" s="45"/>
      <c r="HE529" s="45"/>
      <c r="HF529" s="45"/>
      <c r="HG529" s="45"/>
      <c r="HH529" s="45"/>
      <c r="HI529" s="45"/>
      <c r="HJ529" s="45"/>
      <c r="HK529" s="45"/>
      <c r="HL529" s="45"/>
      <c r="HM529" s="45"/>
      <c r="HN529" s="45"/>
      <c r="HO529" s="45"/>
      <c r="HP529" s="45"/>
      <c r="HQ529" s="45"/>
      <c r="HR529" s="45"/>
      <c r="HS529" s="45"/>
      <c r="HT529" s="45"/>
      <c r="HU529" s="45"/>
      <c r="HV529" s="45"/>
      <c r="HW529" s="45"/>
      <c r="HX529" s="45"/>
      <c r="HY529" s="45"/>
    </row>
    <row r="530" spans="1:233" s="46" customFormat="1" ht="15" customHeight="1">
      <c r="A530" s="73" t="s">
        <v>44</v>
      </c>
      <c r="B530" s="26" t="s">
        <v>10</v>
      </c>
      <c r="C530" s="26" t="s">
        <v>13</v>
      </c>
      <c r="D530" s="26" t="s">
        <v>610</v>
      </c>
      <c r="E530" s="26" t="s">
        <v>67</v>
      </c>
      <c r="F530" s="26" t="s">
        <v>44</v>
      </c>
      <c r="G530" s="26" t="s">
        <v>128</v>
      </c>
      <c r="H530" s="26" t="s">
        <v>22</v>
      </c>
      <c r="I530" s="26" t="s">
        <v>641</v>
      </c>
      <c r="J530" s="26" t="s">
        <v>23</v>
      </c>
      <c r="K530" s="27" t="s">
        <v>24</v>
      </c>
      <c r="L530" s="26">
        <v>327</v>
      </c>
      <c r="M530" s="28">
        <v>117</v>
      </c>
      <c r="N530" s="82">
        <f>M530*100/L530</f>
        <v>35.779816513761467</v>
      </c>
      <c r="O530" s="28">
        <v>135</v>
      </c>
      <c r="P530" s="28">
        <v>2</v>
      </c>
      <c r="Q530" s="82">
        <f>P530*100/O530</f>
        <v>1.4814814814814814</v>
      </c>
      <c r="R530" s="31">
        <v>28</v>
      </c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  <c r="BP530" s="45"/>
      <c r="BQ530" s="45"/>
      <c r="BR530" s="45"/>
      <c r="BS530" s="45"/>
      <c r="BT530" s="45"/>
      <c r="BU530" s="45"/>
      <c r="BV530" s="45"/>
      <c r="BW530" s="45"/>
      <c r="BX530" s="45"/>
      <c r="BY530" s="45"/>
      <c r="BZ530" s="45"/>
      <c r="CA530" s="45"/>
      <c r="CB530" s="45"/>
      <c r="CC530" s="45"/>
      <c r="CD530" s="45"/>
      <c r="CE530" s="45"/>
      <c r="CF530" s="45"/>
      <c r="CG530" s="45"/>
      <c r="CH530" s="45"/>
      <c r="CI530" s="45"/>
      <c r="CJ530" s="45"/>
      <c r="CK530" s="45"/>
      <c r="CL530" s="45"/>
      <c r="CM530" s="45"/>
      <c r="CN530" s="45"/>
      <c r="CO530" s="45"/>
      <c r="CP530" s="45"/>
      <c r="CQ530" s="45"/>
      <c r="CR530" s="45"/>
      <c r="CS530" s="45"/>
      <c r="CT530" s="45"/>
      <c r="CU530" s="45"/>
      <c r="CV530" s="45"/>
      <c r="CW530" s="45"/>
      <c r="CX530" s="45"/>
      <c r="CY530" s="45"/>
      <c r="CZ530" s="45"/>
      <c r="DA530" s="45"/>
      <c r="DB530" s="45"/>
      <c r="DC530" s="45"/>
      <c r="DD530" s="45"/>
      <c r="DE530" s="45"/>
      <c r="DF530" s="45"/>
      <c r="DG530" s="45"/>
      <c r="DH530" s="45"/>
      <c r="DI530" s="45"/>
      <c r="DJ530" s="45"/>
      <c r="DK530" s="45"/>
      <c r="DL530" s="45"/>
      <c r="DM530" s="45"/>
      <c r="DN530" s="45"/>
      <c r="DO530" s="45"/>
      <c r="DP530" s="45"/>
      <c r="DQ530" s="45"/>
      <c r="DR530" s="45"/>
      <c r="DS530" s="45"/>
      <c r="DT530" s="45"/>
      <c r="DU530" s="45"/>
      <c r="DV530" s="45"/>
      <c r="DW530" s="45"/>
      <c r="DX530" s="45"/>
      <c r="DY530" s="45"/>
      <c r="DZ530" s="45"/>
      <c r="EA530" s="45"/>
      <c r="EB530" s="45"/>
      <c r="EC530" s="45"/>
      <c r="ED530" s="45"/>
      <c r="EE530" s="45"/>
      <c r="EF530" s="45"/>
      <c r="EG530" s="45"/>
      <c r="EH530" s="45"/>
      <c r="EI530" s="45"/>
      <c r="EJ530" s="45"/>
      <c r="EK530" s="45"/>
      <c r="EL530" s="45"/>
      <c r="EM530" s="45"/>
      <c r="EN530" s="45"/>
      <c r="EO530" s="45"/>
      <c r="EP530" s="45"/>
      <c r="EQ530" s="45"/>
      <c r="ER530" s="45"/>
      <c r="ES530" s="45"/>
      <c r="ET530" s="45"/>
      <c r="EU530" s="45"/>
      <c r="EV530" s="45"/>
      <c r="EW530" s="45"/>
      <c r="EX530" s="45"/>
      <c r="EY530" s="45"/>
      <c r="EZ530" s="45"/>
      <c r="FA530" s="45"/>
      <c r="FB530" s="45"/>
      <c r="FC530" s="45"/>
      <c r="FD530" s="45"/>
      <c r="FE530" s="45"/>
      <c r="FF530" s="45"/>
      <c r="FG530" s="45"/>
      <c r="FH530" s="45"/>
      <c r="FI530" s="45"/>
      <c r="FJ530" s="45"/>
      <c r="FK530" s="45"/>
      <c r="FL530" s="45"/>
      <c r="FM530" s="45"/>
      <c r="FN530" s="45"/>
      <c r="FO530" s="45"/>
      <c r="FP530" s="45"/>
      <c r="FQ530" s="45"/>
      <c r="FR530" s="45"/>
      <c r="FS530" s="45"/>
      <c r="FT530" s="45"/>
      <c r="FU530" s="45"/>
      <c r="FV530" s="45"/>
      <c r="FW530" s="45"/>
      <c r="FX530" s="45"/>
      <c r="FY530" s="45"/>
      <c r="FZ530" s="45"/>
      <c r="GA530" s="45"/>
      <c r="GB530" s="45"/>
      <c r="GC530" s="45"/>
      <c r="GD530" s="45"/>
      <c r="GE530" s="45"/>
      <c r="GF530" s="45"/>
      <c r="GG530" s="45"/>
      <c r="GH530" s="45"/>
      <c r="GI530" s="45"/>
      <c r="GJ530" s="45"/>
      <c r="GK530" s="45"/>
      <c r="GL530" s="45"/>
      <c r="GM530" s="45"/>
      <c r="GN530" s="45"/>
      <c r="GO530" s="45"/>
      <c r="GP530" s="45"/>
      <c r="GQ530" s="45"/>
      <c r="GR530" s="45"/>
      <c r="GS530" s="45"/>
      <c r="GT530" s="45"/>
      <c r="GU530" s="45"/>
      <c r="GV530" s="45"/>
      <c r="GW530" s="45"/>
      <c r="GX530" s="45"/>
      <c r="GY530" s="45"/>
      <c r="GZ530" s="45"/>
      <c r="HA530" s="45"/>
      <c r="HB530" s="45"/>
      <c r="HC530" s="45"/>
      <c r="HD530" s="45"/>
      <c r="HE530" s="45"/>
      <c r="HF530" s="45"/>
      <c r="HG530" s="45"/>
      <c r="HH530" s="45"/>
      <c r="HI530" s="45"/>
      <c r="HJ530" s="45"/>
      <c r="HK530" s="45"/>
      <c r="HL530" s="45"/>
      <c r="HM530" s="45"/>
      <c r="HN530" s="45"/>
      <c r="HO530" s="45"/>
      <c r="HP530" s="45"/>
      <c r="HQ530" s="45"/>
      <c r="HR530" s="45"/>
      <c r="HS530" s="45"/>
      <c r="HT530" s="45"/>
      <c r="HU530" s="45"/>
      <c r="HV530" s="45"/>
      <c r="HW530" s="45"/>
      <c r="HX530" s="45"/>
      <c r="HY530" s="45"/>
    </row>
    <row r="531" spans="1:233" s="46" customFormat="1" ht="15" customHeight="1">
      <c r="A531" s="73" t="s">
        <v>44</v>
      </c>
      <c r="B531" s="26" t="s">
        <v>10</v>
      </c>
      <c r="C531" s="26" t="s">
        <v>13</v>
      </c>
      <c r="D531" s="26" t="s">
        <v>610</v>
      </c>
      <c r="E531" s="26" t="s">
        <v>67</v>
      </c>
      <c r="F531" s="26" t="s">
        <v>44</v>
      </c>
      <c r="G531" s="26" t="s">
        <v>128</v>
      </c>
      <c r="H531" s="26" t="s">
        <v>22</v>
      </c>
      <c r="I531" s="26" t="s">
        <v>641</v>
      </c>
      <c r="J531" s="26" t="s">
        <v>23</v>
      </c>
      <c r="K531" s="27" t="s">
        <v>25</v>
      </c>
      <c r="L531" s="26">
        <v>251</v>
      </c>
      <c r="M531" s="28">
        <v>109</v>
      </c>
      <c r="N531" s="82">
        <f t="shared" ref="N531:N536" si="107">M531*100/L531</f>
        <v>43.426294820717132</v>
      </c>
      <c r="O531" s="28">
        <v>251</v>
      </c>
      <c r="P531" s="28">
        <v>8</v>
      </c>
      <c r="Q531" s="82">
        <f t="shared" ref="Q531:Q536" si="108">P531*100/O531</f>
        <v>3.1872509960159361</v>
      </c>
      <c r="R531" s="31">
        <v>28</v>
      </c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  <c r="BP531" s="45"/>
      <c r="BQ531" s="45"/>
      <c r="BR531" s="45"/>
      <c r="BS531" s="45"/>
      <c r="BT531" s="45"/>
      <c r="BU531" s="45"/>
      <c r="BV531" s="45"/>
      <c r="BW531" s="45"/>
      <c r="BX531" s="45"/>
      <c r="BY531" s="45"/>
      <c r="BZ531" s="45"/>
      <c r="CA531" s="45"/>
      <c r="CB531" s="45"/>
      <c r="CC531" s="45"/>
      <c r="CD531" s="45"/>
      <c r="CE531" s="45"/>
      <c r="CF531" s="45"/>
      <c r="CG531" s="45"/>
      <c r="CH531" s="45"/>
      <c r="CI531" s="45"/>
      <c r="CJ531" s="45"/>
      <c r="CK531" s="45"/>
      <c r="CL531" s="45"/>
      <c r="CM531" s="45"/>
      <c r="CN531" s="45"/>
      <c r="CO531" s="45"/>
      <c r="CP531" s="45"/>
      <c r="CQ531" s="45"/>
      <c r="CR531" s="45"/>
      <c r="CS531" s="45"/>
      <c r="CT531" s="45"/>
      <c r="CU531" s="45"/>
      <c r="CV531" s="45"/>
      <c r="CW531" s="45"/>
      <c r="CX531" s="45"/>
      <c r="CY531" s="45"/>
      <c r="CZ531" s="45"/>
      <c r="DA531" s="45"/>
      <c r="DB531" s="45"/>
      <c r="DC531" s="45"/>
      <c r="DD531" s="45"/>
      <c r="DE531" s="45"/>
      <c r="DF531" s="45"/>
      <c r="DG531" s="45"/>
      <c r="DH531" s="45"/>
      <c r="DI531" s="45"/>
      <c r="DJ531" s="45"/>
      <c r="DK531" s="45"/>
      <c r="DL531" s="45"/>
      <c r="DM531" s="45"/>
      <c r="DN531" s="45"/>
      <c r="DO531" s="45"/>
      <c r="DP531" s="45"/>
      <c r="DQ531" s="45"/>
      <c r="DR531" s="45"/>
      <c r="DS531" s="45"/>
      <c r="DT531" s="45"/>
      <c r="DU531" s="45"/>
      <c r="DV531" s="45"/>
      <c r="DW531" s="45"/>
      <c r="DX531" s="45"/>
      <c r="DY531" s="45"/>
      <c r="DZ531" s="45"/>
      <c r="EA531" s="45"/>
      <c r="EB531" s="45"/>
      <c r="EC531" s="45"/>
      <c r="ED531" s="45"/>
      <c r="EE531" s="45"/>
      <c r="EF531" s="45"/>
      <c r="EG531" s="45"/>
      <c r="EH531" s="45"/>
      <c r="EI531" s="45"/>
      <c r="EJ531" s="45"/>
      <c r="EK531" s="45"/>
      <c r="EL531" s="45"/>
      <c r="EM531" s="45"/>
      <c r="EN531" s="45"/>
      <c r="EO531" s="45"/>
      <c r="EP531" s="45"/>
      <c r="EQ531" s="45"/>
      <c r="ER531" s="45"/>
      <c r="ES531" s="45"/>
      <c r="ET531" s="45"/>
      <c r="EU531" s="45"/>
      <c r="EV531" s="45"/>
      <c r="EW531" s="45"/>
      <c r="EX531" s="45"/>
      <c r="EY531" s="45"/>
      <c r="EZ531" s="45"/>
      <c r="FA531" s="45"/>
      <c r="FB531" s="45"/>
      <c r="FC531" s="45"/>
      <c r="FD531" s="45"/>
      <c r="FE531" s="45"/>
      <c r="FF531" s="45"/>
      <c r="FG531" s="45"/>
      <c r="FH531" s="45"/>
      <c r="FI531" s="45"/>
      <c r="FJ531" s="45"/>
      <c r="FK531" s="45"/>
      <c r="FL531" s="45"/>
      <c r="FM531" s="45"/>
      <c r="FN531" s="45"/>
      <c r="FO531" s="45"/>
      <c r="FP531" s="45"/>
      <c r="FQ531" s="45"/>
      <c r="FR531" s="45"/>
      <c r="FS531" s="45"/>
      <c r="FT531" s="45"/>
      <c r="FU531" s="45"/>
      <c r="FV531" s="45"/>
      <c r="FW531" s="45"/>
      <c r="FX531" s="45"/>
      <c r="FY531" s="45"/>
      <c r="FZ531" s="45"/>
      <c r="GA531" s="45"/>
      <c r="GB531" s="45"/>
      <c r="GC531" s="45"/>
      <c r="GD531" s="45"/>
      <c r="GE531" s="45"/>
      <c r="GF531" s="45"/>
      <c r="GG531" s="45"/>
      <c r="GH531" s="45"/>
      <c r="GI531" s="45"/>
      <c r="GJ531" s="45"/>
      <c r="GK531" s="45"/>
      <c r="GL531" s="45"/>
      <c r="GM531" s="45"/>
      <c r="GN531" s="45"/>
      <c r="GO531" s="45"/>
      <c r="GP531" s="45"/>
      <c r="GQ531" s="45"/>
      <c r="GR531" s="45"/>
      <c r="GS531" s="45"/>
      <c r="GT531" s="45"/>
      <c r="GU531" s="45"/>
      <c r="GV531" s="45"/>
      <c r="GW531" s="45"/>
      <c r="GX531" s="45"/>
      <c r="GY531" s="45"/>
      <c r="GZ531" s="45"/>
      <c r="HA531" s="45"/>
      <c r="HB531" s="45"/>
      <c r="HC531" s="45"/>
      <c r="HD531" s="45"/>
      <c r="HE531" s="45"/>
      <c r="HF531" s="45"/>
      <c r="HG531" s="45"/>
      <c r="HH531" s="45"/>
      <c r="HI531" s="45"/>
      <c r="HJ531" s="45"/>
      <c r="HK531" s="45"/>
      <c r="HL531" s="45"/>
      <c r="HM531" s="45"/>
      <c r="HN531" s="45"/>
      <c r="HO531" s="45"/>
      <c r="HP531" s="45"/>
      <c r="HQ531" s="45"/>
      <c r="HR531" s="45"/>
      <c r="HS531" s="45"/>
      <c r="HT531" s="45"/>
      <c r="HU531" s="45"/>
      <c r="HV531" s="45"/>
      <c r="HW531" s="45"/>
      <c r="HX531" s="45"/>
      <c r="HY531" s="45"/>
    </row>
    <row r="532" spans="1:233" s="46" customFormat="1" ht="15" customHeight="1">
      <c r="A532" s="73" t="s">
        <v>44</v>
      </c>
      <c r="B532" s="26" t="s">
        <v>10</v>
      </c>
      <c r="C532" s="26" t="s">
        <v>13</v>
      </c>
      <c r="D532" s="26" t="s">
        <v>610</v>
      </c>
      <c r="E532" s="26" t="s">
        <v>67</v>
      </c>
      <c r="F532" s="26" t="s">
        <v>44</v>
      </c>
      <c r="G532" s="26" t="s">
        <v>128</v>
      </c>
      <c r="H532" s="26" t="s">
        <v>22</v>
      </c>
      <c r="I532" s="26" t="s">
        <v>641</v>
      </c>
      <c r="J532" s="26" t="s">
        <v>23</v>
      </c>
      <c r="K532" s="27" t="s">
        <v>26</v>
      </c>
      <c r="L532" s="26">
        <v>190</v>
      </c>
      <c r="M532" s="28">
        <v>98</v>
      </c>
      <c r="N532" s="82">
        <f t="shared" si="107"/>
        <v>51.578947368421055</v>
      </c>
      <c r="O532" s="28">
        <v>190</v>
      </c>
      <c r="P532" s="28">
        <v>17</v>
      </c>
      <c r="Q532" s="82">
        <f t="shared" si="108"/>
        <v>8.9473684210526319</v>
      </c>
      <c r="R532" s="31">
        <v>28</v>
      </c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  <c r="BP532" s="45"/>
      <c r="BQ532" s="45"/>
      <c r="BR532" s="45"/>
      <c r="BS532" s="45"/>
      <c r="BT532" s="45"/>
      <c r="BU532" s="45"/>
      <c r="BV532" s="45"/>
      <c r="BW532" s="45"/>
      <c r="BX532" s="45"/>
      <c r="BY532" s="45"/>
      <c r="BZ532" s="45"/>
      <c r="CA532" s="45"/>
      <c r="CB532" s="45"/>
      <c r="CC532" s="45"/>
      <c r="CD532" s="45"/>
      <c r="CE532" s="45"/>
      <c r="CF532" s="45"/>
      <c r="CG532" s="45"/>
      <c r="CH532" s="45"/>
      <c r="CI532" s="45"/>
      <c r="CJ532" s="45"/>
      <c r="CK532" s="45"/>
      <c r="CL532" s="45"/>
      <c r="CM532" s="45"/>
      <c r="CN532" s="45"/>
      <c r="CO532" s="45"/>
      <c r="CP532" s="45"/>
      <c r="CQ532" s="45"/>
      <c r="CR532" s="45"/>
      <c r="CS532" s="45"/>
      <c r="CT532" s="45"/>
      <c r="CU532" s="45"/>
      <c r="CV532" s="45"/>
      <c r="CW532" s="45"/>
      <c r="CX532" s="45"/>
      <c r="CY532" s="45"/>
      <c r="CZ532" s="45"/>
      <c r="DA532" s="45"/>
      <c r="DB532" s="45"/>
      <c r="DC532" s="45"/>
      <c r="DD532" s="45"/>
      <c r="DE532" s="45"/>
      <c r="DF532" s="45"/>
      <c r="DG532" s="45"/>
      <c r="DH532" s="45"/>
      <c r="DI532" s="45"/>
      <c r="DJ532" s="45"/>
      <c r="DK532" s="45"/>
      <c r="DL532" s="45"/>
      <c r="DM532" s="45"/>
      <c r="DN532" s="45"/>
      <c r="DO532" s="45"/>
      <c r="DP532" s="45"/>
      <c r="DQ532" s="45"/>
      <c r="DR532" s="45"/>
      <c r="DS532" s="45"/>
      <c r="DT532" s="45"/>
      <c r="DU532" s="45"/>
      <c r="DV532" s="45"/>
      <c r="DW532" s="45"/>
      <c r="DX532" s="45"/>
      <c r="DY532" s="45"/>
      <c r="DZ532" s="45"/>
      <c r="EA532" s="45"/>
      <c r="EB532" s="45"/>
      <c r="EC532" s="45"/>
      <c r="ED532" s="45"/>
      <c r="EE532" s="45"/>
      <c r="EF532" s="45"/>
      <c r="EG532" s="45"/>
      <c r="EH532" s="45"/>
      <c r="EI532" s="45"/>
      <c r="EJ532" s="45"/>
      <c r="EK532" s="45"/>
      <c r="EL532" s="45"/>
      <c r="EM532" s="45"/>
      <c r="EN532" s="45"/>
      <c r="EO532" s="45"/>
      <c r="EP532" s="45"/>
      <c r="EQ532" s="45"/>
      <c r="ER532" s="45"/>
      <c r="ES532" s="45"/>
      <c r="ET532" s="45"/>
      <c r="EU532" s="45"/>
      <c r="EV532" s="45"/>
      <c r="EW532" s="45"/>
      <c r="EX532" s="45"/>
      <c r="EY532" s="45"/>
      <c r="EZ532" s="45"/>
      <c r="FA532" s="45"/>
      <c r="FB532" s="45"/>
      <c r="FC532" s="45"/>
      <c r="FD532" s="45"/>
      <c r="FE532" s="45"/>
      <c r="FF532" s="45"/>
      <c r="FG532" s="45"/>
      <c r="FH532" s="45"/>
      <c r="FI532" s="45"/>
      <c r="FJ532" s="45"/>
      <c r="FK532" s="45"/>
      <c r="FL532" s="45"/>
      <c r="FM532" s="45"/>
      <c r="FN532" s="45"/>
      <c r="FO532" s="45"/>
      <c r="FP532" s="45"/>
      <c r="FQ532" s="45"/>
      <c r="FR532" s="45"/>
      <c r="FS532" s="45"/>
      <c r="FT532" s="45"/>
      <c r="FU532" s="45"/>
      <c r="FV532" s="45"/>
      <c r="FW532" s="45"/>
      <c r="FX532" s="45"/>
      <c r="FY532" s="45"/>
      <c r="FZ532" s="45"/>
      <c r="GA532" s="45"/>
      <c r="GB532" s="45"/>
      <c r="GC532" s="45"/>
      <c r="GD532" s="45"/>
      <c r="GE532" s="45"/>
      <c r="GF532" s="45"/>
      <c r="GG532" s="45"/>
      <c r="GH532" s="45"/>
      <c r="GI532" s="45"/>
      <c r="GJ532" s="45"/>
      <c r="GK532" s="45"/>
      <c r="GL532" s="45"/>
      <c r="GM532" s="45"/>
      <c r="GN532" s="45"/>
      <c r="GO532" s="45"/>
      <c r="GP532" s="45"/>
      <c r="GQ532" s="45"/>
      <c r="GR532" s="45"/>
      <c r="GS532" s="45"/>
      <c r="GT532" s="45"/>
      <c r="GU532" s="45"/>
      <c r="GV532" s="45"/>
      <c r="GW532" s="45"/>
      <c r="GX532" s="45"/>
      <c r="GY532" s="45"/>
      <c r="GZ532" s="45"/>
      <c r="HA532" s="45"/>
      <c r="HB532" s="45"/>
      <c r="HC532" s="45"/>
      <c r="HD532" s="45"/>
      <c r="HE532" s="45"/>
      <c r="HF532" s="45"/>
      <c r="HG532" s="45"/>
      <c r="HH532" s="45"/>
      <c r="HI532" s="45"/>
      <c r="HJ532" s="45"/>
      <c r="HK532" s="45"/>
      <c r="HL532" s="45"/>
      <c r="HM532" s="45"/>
      <c r="HN532" s="45"/>
      <c r="HO532" s="45"/>
      <c r="HP532" s="45"/>
      <c r="HQ532" s="45"/>
      <c r="HR532" s="45"/>
      <c r="HS532" s="45"/>
      <c r="HT532" s="45"/>
      <c r="HU532" s="45"/>
      <c r="HV532" s="45"/>
      <c r="HW532" s="45"/>
      <c r="HX532" s="45"/>
      <c r="HY532" s="45"/>
    </row>
    <row r="533" spans="1:233" s="46" customFormat="1" ht="15" customHeight="1">
      <c r="A533" s="73" t="s">
        <v>44</v>
      </c>
      <c r="B533" s="26" t="s">
        <v>10</v>
      </c>
      <c r="C533" s="26" t="s">
        <v>13</v>
      </c>
      <c r="D533" s="26" t="s">
        <v>610</v>
      </c>
      <c r="E533" s="26" t="s">
        <v>67</v>
      </c>
      <c r="F533" s="26" t="s">
        <v>44</v>
      </c>
      <c r="G533" s="26" t="s">
        <v>128</v>
      </c>
      <c r="H533" s="26" t="s">
        <v>22</v>
      </c>
      <c r="I533" s="26" t="s">
        <v>641</v>
      </c>
      <c r="J533" s="26" t="s">
        <v>23</v>
      </c>
      <c r="K533" s="27" t="s">
        <v>27</v>
      </c>
      <c r="L533" s="26">
        <v>220</v>
      </c>
      <c r="M533" s="28">
        <v>120</v>
      </c>
      <c r="N533" s="82">
        <f t="shared" si="107"/>
        <v>54.545454545454547</v>
      </c>
      <c r="O533" s="28">
        <v>221</v>
      </c>
      <c r="P533" s="28">
        <v>26</v>
      </c>
      <c r="Q533" s="82">
        <f t="shared" si="108"/>
        <v>11.764705882352942</v>
      </c>
      <c r="R533" s="31">
        <v>28</v>
      </c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  <c r="BP533" s="45"/>
      <c r="BQ533" s="45"/>
      <c r="BR533" s="45"/>
      <c r="BS533" s="45"/>
      <c r="BT533" s="45"/>
      <c r="BU533" s="45"/>
      <c r="BV533" s="45"/>
      <c r="BW533" s="45"/>
      <c r="BX533" s="45"/>
      <c r="BY533" s="45"/>
      <c r="BZ533" s="45"/>
      <c r="CA533" s="45"/>
      <c r="CB533" s="45"/>
      <c r="CC533" s="45"/>
      <c r="CD533" s="45"/>
      <c r="CE533" s="45"/>
      <c r="CF533" s="45"/>
      <c r="CG533" s="45"/>
      <c r="CH533" s="45"/>
      <c r="CI533" s="45"/>
      <c r="CJ533" s="45"/>
      <c r="CK533" s="45"/>
      <c r="CL533" s="45"/>
      <c r="CM533" s="45"/>
      <c r="CN533" s="45"/>
      <c r="CO533" s="45"/>
      <c r="CP533" s="45"/>
      <c r="CQ533" s="45"/>
      <c r="CR533" s="45"/>
      <c r="CS533" s="45"/>
      <c r="CT533" s="45"/>
      <c r="CU533" s="45"/>
      <c r="CV533" s="45"/>
      <c r="CW533" s="45"/>
      <c r="CX533" s="45"/>
      <c r="CY533" s="45"/>
      <c r="CZ533" s="45"/>
      <c r="DA533" s="45"/>
      <c r="DB533" s="45"/>
      <c r="DC533" s="45"/>
      <c r="DD533" s="45"/>
      <c r="DE533" s="45"/>
      <c r="DF533" s="45"/>
      <c r="DG533" s="45"/>
      <c r="DH533" s="45"/>
      <c r="DI533" s="45"/>
      <c r="DJ533" s="45"/>
      <c r="DK533" s="45"/>
      <c r="DL533" s="45"/>
      <c r="DM533" s="45"/>
      <c r="DN533" s="45"/>
      <c r="DO533" s="45"/>
      <c r="DP533" s="45"/>
      <c r="DQ533" s="45"/>
      <c r="DR533" s="45"/>
      <c r="DS533" s="45"/>
      <c r="DT533" s="45"/>
      <c r="DU533" s="45"/>
      <c r="DV533" s="45"/>
      <c r="DW533" s="45"/>
      <c r="DX533" s="45"/>
      <c r="DY533" s="45"/>
      <c r="DZ533" s="45"/>
      <c r="EA533" s="45"/>
      <c r="EB533" s="45"/>
      <c r="EC533" s="45"/>
      <c r="ED533" s="45"/>
      <c r="EE533" s="45"/>
      <c r="EF533" s="45"/>
      <c r="EG533" s="45"/>
      <c r="EH533" s="45"/>
      <c r="EI533" s="45"/>
      <c r="EJ533" s="45"/>
      <c r="EK533" s="45"/>
      <c r="EL533" s="45"/>
      <c r="EM533" s="45"/>
      <c r="EN533" s="45"/>
      <c r="EO533" s="45"/>
      <c r="EP533" s="45"/>
      <c r="EQ533" s="45"/>
      <c r="ER533" s="45"/>
      <c r="ES533" s="45"/>
      <c r="ET533" s="45"/>
      <c r="EU533" s="45"/>
      <c r="EV533" s="45"/>
      <c r="EW533" s="45"/>
      <c r="EX533" s="45"/>
      <c r="EY533" s="45"/>
      <c r="EZ533" s="45"/>
      <c r="FA533" s="45"/>
      <c r="FB533" s="45"/>
      <c r="FC533" s="45"/>
      <c r="FD533" s="45"/>
      <c r="FE533" s="45"/>
      <c r="FF533" s="45"/>
      <c r="FG533" s="45"/>
      <c r="FH533" s="45"/>
      <c r="FI533" s="45"/>
      <c r="FJ533" s="45"/>
      <c r="FK533" s="45"/>
      <c r="FL533" s="45"/>
      <c r="FM533" s="45"/>
      <c r="FN533" s="45"/>
      <c r="FO533" s="45"/>
      <c r="FP533" s="45"/>
      <c r="FQ533" s="45"/>
      <c r="FR533" s="45"/>
      <c r="FS533" s="45"/>
      <c r="FT533" s="45"/>
      <c r="FU533" s="45"/>
      <c r="FV533" s="45"/>
      <c r="FW533" s="45"/>
      <c r="FX533" s="45"/>
      <c r="FY533" s="45"/>
      <c r="FZ533" s="45"/>
      <c r="GA533" s="45"/>
      <c r="GB533" s="45"/>
      <c r="GC533" s="45"/>
      <c r="GD533" s="45"/>
      <c r="GE533" s="45"/>
      <c r="GF533" s="45"/>
      <c r="GG533" s="45"/>
      <c r="GH533" s="45"/>
      <c r="GI533" s="45"/>
      <c r="GJ533" s="45"/>
      <c r="GK533" s="45"/>
      <c r="GL533" s="45"/>
      <c r="GM533" s="45"/>
      <c r="GN533" s="45"/>
      <c r="GO533" s="45"/>
      <c r="GP533" s="45"/>
      <c r="GQ533" s="45"/>
      <c r="GR533" s="45"/>
      <c r="GS533" s="45"/>
      <c r="GT533" s="45"/>
      <c r="GU533" s="45"/>
      <c r="GV533" s="45"/>
      <c r="GW533" s="45"/>
      <c r="GX533" s="45"/>
      <c r="GY533" s="45"/>
      <c r="GZ533" s="45"/>
      <c r="HA533" s="45"/>
      <c r="HB533" s="45"/>
      <c r="HC533" s="45"/>
      <c r="HD533" s="45"/>
      <c r="HE533" s="45"/>
      <c r="HF533" s="45"/>
      <c r="HG533" s="45"/>
      <c r="HH533" s="45"/>
      <c r="HI533" s="45"/>
      <c r="HJ533" s="45"/>
      <c r="HK533" s="45"/>
      <c r="HL533" s="45"/>
      <c r="HM533" s="45"/>
      <c r="HN533" s="45"/>
      <c r="HO533" s="45"/>
      <c r="HP533" s="45"/>
      <c r="HQ533" s="45"/>
      <c r="HR533" s="45"/>
      <c r="HS533" s="45"/>
      <c r="HT533" s="45"/>
      <c r="HU533" s="45"/>
      <c r="HV533" s="45"/>
      <c r="HW533" s="45"/>
      <c r="HX533" s="45"/>
      <c r="HY533" s="45"/>
    </row>
    <row r="534" spans="1:233" s="46" customFormat="1" ht="15" customHeight="1">
      <c r="A534" s="73" t="s">
        <v>44</v>
      </c>
      <c r="B534" s="26" t="s">
        <v>10</v>
      </c>
      <c r="C534" s="26" t="s">
        <v>13</v>
      </c>
      <c r="D534" s="26" t="s">
        <v>610</v>
      </c>
      <c r="E534" s="26" t="s">
        <v>67</v>
      </c>
      <c r="F534" s="26" t="s">
        <v>44</v>
      </c>
      <c r="G534" s="26" t="s">
        <v>128</v>
      </c>
      <c r="H534" s="26" t="s">
        <v>22</v>
      </c>
      <c r="I534" s="26" t="s">
        <v>641</v>
      </c>
      <c r="J534" s="26" t="s">
        <v>23</v>
      </c>
      <c r="K534" s="27" t="s">
        <v>28</v>
      </c>
      <c r="L534" s="26">
        <v>211</v>
      </c>
      <c r="M534" s="28">
        <v>135</v>
      </c>
      <c r="N534" s="82">
        <f t="shared" si="107"/>
        <v>63.981042654028435</v>
      </c>
      <c r="O534" s="28">
        <v>211</v>
      </c>
      <c r="P534" s="28">
        <v>30</v>
      </c>
      <c r="Q534" s="82">
        <f t="shared" si="108"/>
        <v>14.218009478672986</v>
      </c>
      <c r="R534" s="31">
        <v>28</v>
      </c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  <c r="BP534" s="45"/>
      <c r="BQ534" s="45"/>
      <c r="BR534" s="45"/>
      <c r="BS534" s="45"/>
      <c r="BT534" s="45"/>
      <c r="BU534" s="45"/>
      <c r="BV534" s="45"/>
      <c r="BW534" s="45"/>
      <c r="BX534" s="45"/>
      <c r="BY534" s="45"/>
      <c r="BZ534" s="45"/>
      <c r="CA534" s="45"/>
      <c r="CB534" s="45"/>
      <c r="CC534" s="45"/>
      <c r="CD534" s="45"/>
      <c r="CE534" s="45"/>
      <c r="CF534" s="45"/>
      <c r="CG534" s="45"/>
      <c r="CH534" s="45"/>
      <c r="CI534" s="45"/>
      <c r="CJ534" s="45"/>
      <c r="CK534" s="45"/>
      <c r="CL534" s="45"/>
      <c r="CM534" s="45"/>
      <c r="CN534" s="45"/>
      <c r="CO534" s="45"/>
      <c r="CP534" s="45"/>
      <c r="CQ534" s="45"/>
      <c r="CR534" s="45"/>
      <c r="CS534" s="45"/>
      <c r="CT534" s="45"/>
      <c r="CU534" s="45"/>
      <c r="CV534" s="45"/>
      <c r="CW534" s="45"/>
      <c r="CX534" s="45"/>
      <c r="CY534" s="45"/>
      <c r="CZ534" s="45"/>
      <c r="DA534" s="45"/>
      <c r="DB534" s="45"/>
      <c r="DC534" s="45"/>
      <c r="DD534" s="45"/>
      <c r="DE534" s="45"/>
      <c r="DF534" s="45"/>
      <c r="DG534" s="45"/>
      <c r="DH534" s="45"/>
      <c r="DI534" s="45"/>
      <c r="DJ534" s="45"/>
      <c r="DK534" s="45"/>
      <c r="DL534" s="45"/>
      <c r="DM534" s="45"/>
      <c r="DN534" s="45"/>
      <c r="DO534" s="45"/>
      <c r="DP534" s="45"/>
      <c r="DQ534" s="45"/>
      <c r="DR534" s="45"/>
      <c r="DS534" s="45"/>
      <c r="DT534" s="45"/>
      <c r="DU534" s="45"/>
      <c r="DV534" s="45"/>
      <c r="DW534" s="45"/>
      <c r="DX534" s="45"/>
      <c r="DY534" s="45"/>
      <c r="DZ534" s="45"/>
      <c r="EA534" s="45"/>
      <c r="EB534" s="45"/>
      <c r="EC534" s="45"/>
      <c r="ED534" s="45"/>
      <c r="EE534" s="45"/>
      <c r="EF534" s="45"/>
      <c r="EG534" s="45"/>
      <c r="EH534" s="45"/>
      <c r="EI534" s="45"/>
      <c r="EJ534" s="45"/>
      <c r="EK534" s="45"/>
      <c r="EL534" s="45"/>
      <c r="EM534" s="45"/>
      <c r="EN534" s="45"/>
      <c r="EO534" s="45"/>
      <c r="EP534" s="45"/>
      <c r="EQ534" s="45"/>
      <c r="ER534" s="45"/>
      <c r="ES534" s="45"/>
      <c r="ET534" s="45"/>
      <c r="EU534" s="45"/>
      <c r="EV534" s="45"/>
      <c r="EW534" s="45"/>
      <c r="EX534" s="45"/>
      <c r="EY534" s="45"/>
      <c r="EZ534" s="45"/>
      <c r="FA534" s="45"/>
      <c r="FB534" s="45"/>
      <c r="FC534" s="45"/>
      <c r="FD534" s="45"/>
      <c r="FE534" s="45"/>
      <c r="FF534" s="45"/>
      <c r="FG534" s="45"/>
      <c r="FH534" s="45"/>
      <c r="FI534" s="45"/>
      <c r="FJ534" s="45"/>
      <c r="FK534" s="45"/>
      <c r="FL534" s="45"/>
      <c r="FM534" s="45"/>
      <c r="FN534" s="45"/>
      <c r="FO534" s="45"/>
      <c r="FP534" s="45"/>
      <c r="FQ534" s="45"/>
      <c r="FR534" s="45"/>
      <c r="FS534" s="45"/>
      <c r="FT534" s="45"/>
      <c r="FU534" s="45"/>
      <c r="FV534" s="45"/>
      <c r="FW534" s="45"/>
      <c r="FX534" s="45"/>
      <c r="FY534" s="45"/>
      <c r="FZ534" s="45"/>
      <c r="GA534" s="45"/>
      <c r="GB534" s="45"/>
      <c r="GC534" s="45"/>
      <c r="GD534" s="45"/>
      <c r="GE534" s="45"/>
      <c r="GF534" s="45"/>
      <c r="GG534" s="45"/>
      <c r="GH534" s="45"/>
      <c r="GI534" s="45"/>
      <c r="GJ534" s="45"/>
      <c r="GK534" s="45"/>
      <c r="GL534" s="45"/>
      <c r="GM534" s="45"/>
      <c r="GN534" s="45"/>
      <c r="GO534" s="45"/>
      <c r="GP534" s="45"/>
      <c r="GQ534" s="45"/>
      <c r="GR534" s="45"/>
      <c r="GS534" s="45"/>
      <c r="GT534" s="45"/>
      <c r="GU534" s="45"/>
      <c r="GV534" s="45"/>
      <c r="GW534" s="45"/>
      <c r="GX534" s="45"/>
      <c r="GY534" s="45"/>
      <c r="GZ534" s="45"/>
      <c r="HA534" s="45"/>
      <c r="HB534" s="45"/>
      <c r="HC534" s="45"/>
      <c r="HD534" s="45"/>
      <c r="HE534" s="45"/>
      <c r="HF534" s="45"/>
      <c r="HG534" s="45"/>
      <c r="HH534" s="45"/>
      <c r="HI534" s="45"/>
      <c r="HJ534" s="45"/>
      <c r="HK534" s="45"/>
      <c r="HL534" s="45"/>
      <c r="HM534" s="45"/>
      <c r="HN534" s="45"/>
      <c r="HO534" s="45"/>
      <c r="HP534" s="45"/>
      <c r="HQ534" s="45"/>
      <c r="HR534" s="45"/>
      <c r="HS534" s="45"/>
      <c r="HT534" s="45"/>
      <c r="HU534" s="45"/>
      <c r="HV534" s="45"/>
      <c r="HW534" s="45"/>
      <c r="HX534" s="45"/>
      <c r="HY534" s="45"/>
    </row>
    <row r="535" spans="1:233" s="46" customFormat="1" ht="15" customHeight="1">
      <c r="A535" s="73" t="s">
        <v>44</v>
      </c>
      <c r="B535" s="26" t="s">
        <v>10</v>
      </c>
      <c r="C535" s="26" t="s">
        <v>13</v>
      </c>
      <c r="D535" s="26" t="s">
        <v>610</v>
      </c>
      <c r="E535" s="26" t="s">
        <v>67</v>
      </c>
      <c r="F535" s="26" t="s">
        <v>44</v>
      </c>
      <c r="G535" s="26" t="s">
        <v>128</v>
      </c>
      <c r="H535" s="26" t="s">
        <v>22</v>
      </c>
      <c r="I535" s="26" t="s">
        <v>641</v>
      </c>
      <c r="J535" s="26" t="s">
        <v>23</v>
      </c>
      <c r="K535" s="27" t="s">
        <v>72</v>
      </c>
      <c r="L535" s="26">
        <v>198</v>
      </c>
      <c r="M535" s="28">
        <v>150</v>
      </c>
      <c r="N535" s="82">
        <f t="shared" si="107"/>
        <v>75.757575757575751</v>
      </c>
      <c r="O535" s="28">
        <v>198</v>
      </c>
      <c r="P535" s="28">
        <v>39</v>
      </c>
      <c r="Q535" s="82">
        <f t="shared" si="108"/>
        <v>19.696969696969695</v>
      </c>
      <c r="R535" s="31">
        <v>28</v>
      </c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  <c r="BP535" s="45"/>
      <c r="BQ535" s="45"/>
      <c r="BR535" s="45"/>
      <c r="BS535" s="45"/>
      <c r="BT535" s="45"/>
      <c r="BU535" s="45"/>
      <c r="BV535" s="45"/>
      <c r="BW535" s="45"/>
      <c r="BX535" s="45"/>
      <c r="BY535" s="45"/>
      <c r="BZ535" s="45"/>
      <c r="CA535" s="45"/>
      <c r="CB535" s="45"/>
      <c r="CC535" s="45"/>
      <c r="CD535" s="45"/>
      <c r="CE535" s="45"/>
      <c r="CF535" s="45"/>
      <c r="CG535" s="45"/>
      <c r="CH535" s="45"/>
      <c r="CI535" s="45"/>
      <c r="CJ535" s="45"/>
      <c r="CK535" s="45"/>
      <c r="CL535" s="45"/>
      <c r="CM535" s="45"/>
      <c r="CN535" s="45"/>
      <c r="CO535" s="45"/>
      <c r="CP535" s="45"/>
      <c r="CQ535" s="45"/>
      <c r="CR535" s="45"/>
      <c r="CS535" s="45"/>
      <c r="CT535" s="45"/>
      <c r="CU535" s="45"/>
      <c r="CV535" s="45"/>
      <c r="CW535" s="45"/>
      <c r="CX535" s="45"/>
      <c r="CY535" s="45"/>
      <c r="CZ535" s="45"/>
      <c r="DA535" s="45"/>
      <c r="DB535" s="45"/>
      <c r="DC535" s="45"/>
      <c r="DD535" s="45"/>
      <c r="DE535" s="45"/>
      <c r="DF535" s="45"/>
      <c r="DG535" s="45"/>
      <c r="DH535" s="45"/>
      <c r="DI535" s="45"/>
      <c r="DJ535" s="45"/>
      <c r="DK535" s="45"/>
      <c r="DL535" s="45"/>
      <c r="DM535" s="45"/>
      <c r="DN535" s="45"/>
      <c r="DO535" s="45"/>
      <c r="DP535" s="45"/>
      <c r="DQ535" s="45"/>
      <c r="DR535" s="45"/>
      <c r="DS535" s="45"/>
      <c r="DT535" s="45"/>
      <c r="DU535" s="45"/>
      <c r="DV535" s="45"/>
      <c r="DW535" s="45"/>
      <c r="DX535" s="45"/>
      <c r="DY535" s="45"/>
      <c r="DZ535" s="45"/>
      <c r="EA535" s="45"/>
      <c r="EB535" s="45"/>
      <c r="EC535" s="45"/>
      <c r="ED535" s="45"/>
      <c r="EE535" s="45"/>
      <c r="EF535" s="45"/>
      <c r="EG535" s="45"/>
      <c r="EH535" s="45"/>
      <c r="EI535" s="45"/>
      <c r="EJ535" s="45"/>
      <c r="EK535" s="45"/>
      <c r="EL535" s="45"/>
      <c r="EM535" s="45"/>
      <c r="EN535" s="45"/>
      <c r="EO535" s="45"/>
      <c r="EP535" s="45"/>
      <c r="EQ535" s="45"/>
      <c r="ER535" s="45"/>
      <c r="ES535" s="45"/>
      <c r="ET535" s="45"/>
      <c r="EU535" s="45"/>
      <c r="EV535" s="45"/>
      <c r="EW535" s="45"/>
      <c r="EX535" s="45"/>
      <c r="EY535" s="45"/>
      <c r="EZ535" s="45"/>
      <c r="FA535" s="45"/>
      <c r="FB535" s="45"/>
      <c r="FC535" s="45"/>
      <c r="FD535" s="45"/>
      <c r="FE535" s="45"/>
      <c r="FF535" s="45"/>
      <c r="FG535" s="45"/>
      <c r="FH535" s="45"/>
      <c r="FI535" s="45"/>
      <c r="FJ535" s="45"/>
      <c r="FK535" s="45"/>
      <c r="FL535" s="45"/>
      <c r="FM535" s="45"/>
      <c r="FN535" s="45"/>
      <c r="FO535" s="45"/>
      <c r="FP535" s="45"/>
      <c r="FQ535" s="45"/>
      <c r="FR535" s="45"/>
      <c r="FS535" s="45"/>
      <c r="FT535" s="45"/>
      <c r="FU535" s="45"/>
      <c r="FV535" s="45"/>
      <c r="FW535" s="45"/>
      <c r="FX535" s="45"/>
      <c r="FY535" s="45"/>
      <c r="FZ535" s="45"/>
      <c r="GA535" s="45"/>
      <c r="GB535" s="45"/>
      <c r="GC535" s="45"/>
      <c r="GD535" s="45"/>
      <c r="GE535" s="45"/>
      <c r="GF535" s="45"/>
      <c r="GG535" s="45"/>
      <c r="GH535" s="45"/>
      <c r="GI535" s="45"/>
      <c r="GJ535" s="45"/>
      <c r="GK535" s="45"/>
      <c r="GL535" s="45"/>
      <c r="GM535" s="45"/>
      <c r="GN535" s="45"/>
      <c r="GO535" s="45"/>
      <c r="GP535" s="45"/>
      <c r="GQ535" s="45"/>
      <c r="GR535" s="45"/>
      <c r="GS535" s="45"/>
      <c r="GT535" s="45"/>
      <c r="GU535" s="45"/>
      <c r="GV535" s="45"/>
      <c r="GW535" s="45"/>
      <c r="GX535" s="45"/>
      <c r="GY535" s="45"/>
      <c r="GZ535" s="45"/>
      <c r="HA535" s="45"/>
      <c r="HB535" s="45"/>
      <c r="HC535" s="45"/>
      <c r="HD535" s="45"/>
      <c r="HE535" s="45"/>
      <c r="HF535" s="45"/>
      <c r="HG535" s="45"/>
      <c r="HH535" s="45"/>
      <c r="HI535" s="45"/>
      <c r="HJ535" s="45"/>
      <c r="HK535" s="45"/>
      <c r="HL535" s="45"/>
      <c r="HM535" s="45"/>
      <c r="HN535" s="45"/>
      <c r="HO535" s="45"/>
      <c r="HP535" s="45"/>
      <c r="HQ535" s="45"/>
      <c r="HR535" s="45"/>
      <c r="HS535" s="45"/>
      <c r="HT535" s="45"/>
      <c r="HU535" s="45"/>
      <c r="HV535" s="45"/>
      <c r="HW535" s="45"/>
      <c r="HX535" s="45"/>
      <c r="HY535" s="45"/>
    </row>
    <row r="536" spans="1:233" s="46" customFormat="1" ht="15" customHeight="1">
      <c r="A536" s="73" t="s">
        <v>44</v>
      </c>
      <c r="B536" s="26" t="s">
        <v>10</v>
      </c>
      <c r="C536" s="26" t="s">
        <v>13</v>
      </c>
      <c r="D536" s="26" t="s">
        <v>610</v>
      </c>
      <c r="E536" s="26" t="s">
        <v>67</v>
      </c>
      <c r="F536" s="26" t="s">
        <v>44</v>
      </c>
      <c r="G536" s="26" t="s">
        <v>128</v>
      </c>
      <c r="H536" s="26" t="s">
        <v>22</v>
      </c>
      <c r="I536" s="26" t="s">
        <v>641</v>
      </c>
      <c r="J536" s="26" t="s">
        <v>23</v>
      </c>
      <c r="K536" s="27" t="s">
        <v>73</v>
      </c>
      <c r="L536" s="26">
        <v>190</v>
      </c>
      <c r="M536" s="28">
        <v>143</v>
      </c>
      <c r="N536" s="82">
        <f t="shared" si="107"/>
        <v>75.263157894736835</v>
      </c>
      <c r="O536" s="28">
        <v>190</v>
      </c>
      <c r="P536" s="28">
        <v>61</v>
      </c>
      <c r="Q536" s="82">
        <f t="shared" si="108"/>
        <v>32.10526315789474</v>
      </c>
      <c r="R536" s="31">
        <v>28</v>
      </c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  <c r="BP536" s="45"/>
      <c r="BQ536" s="45"/>
      <c r="BR536" s="45"/>
      <c r="BS536" s="45"/>
      <c r="BT536" s="45"/>
      <c r="BU536" s="45"/>
      <c r="BV536" s="45"/>
      <c r="BW536" s="45"/>
      <c r="BX536" s="45"/>
      <c r="BY536" s="45"/>
      <c r="BZ536" s="45"/>
      <c r="CA536" s="45"/>
      <c r="CB536" s="45"/>
      <c r="CC536" s="45"/>
      <c r="CD536" s="45"/>
      <c r="CE536" s="45"/>
      <c r="CF536" s="45"/>
      <c r="CG536" s="45"/>
      <c r="CH536" s="45"/>
      <c r="CI536" s="45"/>
      <c r="CJ536" s="45"/>
      <c r="CK536" s="45"/>
      <c r="CL536" s="45"/>
      <c r="CM536" s="45"/>
      <c r="CN536" s="45"/>
      <c r="CO536" s="45"/>
      <c r="CP536" s="45"/>
      <c r="CQ536" s="45"/>
      <c r="CR536" s="45"/>
      <c r="CS536" s="45"/>
      <c r="CT536" s="45"/>
      <c r="CU536" s="45"/>
      <c r="CV536" s="45"/>
      <c r="CW536" s="45"/>
      <c r="CX536" s="45"/>
      <c r="CY536" s="45"/>
      <c r="CZ536" s="45"/>
      <c r="DA536" s="45"/>
      <c r="DB536" s="45"/>
      <c r="DC536" s="45"/>
      <c r="DD536" s="45"/>
      <c r="DE536" s="45"/>
      <c r="DF536" s="45"/>
      <c r="DG536" s="45"/>
      <c r="DH536" s="45"/>
      <c r="DI536" s="45"/>
      <c r="DJ536" s="45"/>
      <c r="DK536" s="45"/>
      <c r="DL536" s="45"/>
      <c r="DM536" s="45"/>
      <c r="DN536" s="45"/>
      <c r="DO536" s="45"/>
      <c r="DP536" s="45"/>
      <c r="DQ536" s="45"/>
      <c r="DR536" s="45"/>
      <c r="DS536" s="45"/>
      <c r="DT536" s="45"/>
      <c r="DU536" s="45"/>
      <c r="DV536" s="45"/>
      <c r="DW536" s="45"/>
      <c r="DX536" s="45"/>
      <c r="DY536" s="45"/>
      <c r="DZ536" s="45"/>
      <c r="EA536" s="45"/>
      <c r="EB536" s="45"/>
      <c r="EC536" s="45"/>
      <c r="ED536" s="45"/>
      <c r="EE536" s="45"/>
      <c r="EF536" s="45"/>
      <c r="EG536" s="45"/>
      <c r="EH536" s="45"/>
      <c r="EI536" s="45"/>
      <c r="EJ536" s="45"/>
      <c r="EK536" s="45"/>
      <c r="EL536" s="45"/>
      <c r="EM536" s="45"/>
      <c r="EN536" s="45"/>
      <c r="EO536" s="45"/>
      <c r="EP536" s="45"/>
      <c r="EQ536" s="45"/>
      <c r="ER536" s="45"/>
      <c r="ES536" s="45"/>
      <c r="ET536" s="45"/>
      <c r="EU536" s="45"/>
      <c r="EV536" s="45"/>
      <c r="EW536" s="45"/>
      <c r="EX536" s="45"/>
      <c r="EY536" s="45"/>
      <c r="EZ536" s="45"/>
      <c r="FA536" s="45"/>
      <c r="FB536" s="45"/>
      <c r="FC536" s="45"/>
      <c r="FD536" s="45"/>
      <c r="FE536" s="45"/>
      <c r="FF536" s="45"/>
      <c r="FG536" s="45"/>
      <c r="FH536" s="45"/>
      <c r="FI536" s="45"/>
      <c r="FJ536" s="45"/>
      <c r="FK536" s="45"/>
      <c r="FL536" s="45"/>
      <c r="FM536" s="45"/>
      <c r="FN536" s="45"/>
      <c r="FO536" s="45"/>
      <c r="FP536" s="45"/>
      <c r="FQ536" s="45"/>
      <c r="FR536" s="45"/>
      <c r="FS536" s="45"/>
      <c r="FT536" s="45"/>
      <c r="FU536" s="45"/>
      <c r="FV536" s="45"/>
      <c r="FW536" s="45"/>
      <c r="FX536" s="45"/>
      <c r="FY536" s="45"/>
      <c r="FZ536" s="45"/>
      <c r="GA536" s="45"/>
      <c r="GB536" s="45"/>
      <c r="GC536" s="45"/>
      <c r="GD536" s="45"/>
      <c r="GE536" s="45"/>
      <c r="GF536" s="45"/>
      <c r="GG536" s="45"/>
      <c r="GH536" s="45"/>
      <c r="GI536" s="45"/>
      <c r="GJ536" s="45"/>
      <c r="GK536" s="45"/>
      <c r="GL536" s="45"/>
      <c r="GM536" s="45"/>
      <c r="GN536" s="45"/>
      <c r="GO536" s="45"/>
      <c r="GP536" s="45"/>
      <c r="GQ536" s="45"/>
      <c r="GR536" s="45"/>
      <c r="GS536" s="45"/>
      <c r="GT536" s="45"/>
      <c r="GU536" s="45"/>
      <c r="GV536" s="45"/>
      <c r="GW536" s="45"/>
      <c r="GX536" s="45"/>
      <c r="GY536" s="45"/>
      <c r="GZ536" s="45"/>
      <c r="HA536" s="45"/>
      <c r="HB536" s="45"/>
      <c r="HC536" s="45"/>
      <c r="HD536" s="45"/>
      <c r="HE536" s="45"/>
      <c r="HF536" s="45"/>
      <c r="HG536" s="45"/>
      <c r="HH536" s="45"/>
      <c r="HI536" s="45"/>
      <c r="HJ536" s="45"/>
      <c r="HK536" s="45"/>
      <c r="HL536" s="45"/>
      <c r="HM536" s="45"/>
      <c r="HN536" s="45"/>
      <c r="HO536" s="45"/>
      <c r="HP536" s="45"/>
      <c r="HQ536" s="45"/>
      <c r="HR536" s="45"/>
      <c r="HS536" s="45"/>
      <c r="HT536" s="45"/>
      <c r="HU536" s="45"/>
      <c r="HV536" s="45"/>
      <c r="HW536" s="45"/>
      <c r="HX536" s="45"/>
      <c r="HY536" s="45"/>
    </row>
    <row r="537" spans="1:233" s="46" customFormat="1" ht="15" customHeight="1">
      <c r="A537" s="73" t="s">
        <v>44</v>
      </c>
      <c r="B537" s="26" t="s">
        <v>10</v>
      </c>
      <c r="C537" s="26" t="s">
        <v>13</v>
      </c>
      <c r="D537" s="26" t="s">
        <v>610</v>
      </c>
      <c r="E537" s="26" t="s">
        <v>67</v>
      </c>
      <c r="F537" s="26" t="s">
        <v>44</v>
      </c>
      <c r="G537" s="26" t="s">
        <v>128</v>
      </c>
      <c r="H537" s="26" t="s">
        <v>22</v>
      </c>
      <c r="I537" s="26" t="s">
        <v>641</v>
      </c>
      <c r="J537" s="26" t="s">
        <v>11</v>
      </c>
      <c r="K537" s="27" t="s">
        <v>142</v>
      </c>
      <c r="L537" s="26">
        <f>SUM(L538:L544)</f>
        <v>1600</v>
      </c>
      <c r="M537" s="26">
        <f t="shared" ref="M537" si="109">SUM(M538:M544)</f>
        <v>979</v>
      </c>
      <c r="N537" s="82">
        <f>M537*100/L537</f>
        <v>61.1875</v>
      </c>
      <c r="O537" s="26">
        <f t="shared" ref="O537" si="110">SUM(O538:O544)</f>
        <v>1405</v>
      </c>
      <c r="P537" s="26">
        <f t="shared" ref="P537" si="111">SUM(P538:P544)</f>
        <v>348</v>
      </c>
      <c r="Q537" s="82">
        <f>P537*100/O537</f>
        <v>24.768683274021353</v>
      </c>
      <c r="R537" s="31">
        <v>28</v>
      </c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  <c r="BP537" s="45"/>
      <c r="BQ537" s="45"/>
      <c r="BR537" s="45"/>
      <c r="BS537" s="45"/>
      <c r="BT537" s="45"/>
      <c r="BU537" s="45"/>
      <c r="BV537" s="45"/>
      <c r="BW537" s="45"/>
      <c r="BX537" s="45"/>
      <c r="BY537" s="45"/>
      <c r="BZ537" s="45"/>
      <c r="CA537" s="45"/>
      <c r="CB537" s="45"/>
      <c r="CC537" s="45"/>
      <c r="CD537" s="45"/>
      <c r="CE537" s="45"/>
      <c r="CF537" s="45"/>
      <c r="CG537" s="45"/>
      <c r="CH537" s="45"/>
      <c r="CI537" s="45"/>
      <c r="CJ537" s="45"/>
      <c r="CK537" s="45"/>
      <c r="CL537" s="45"/>
      <c r="CM537" s="45"/>
      <c r="CN537" s="45"/>
      <c r="CO537" s="45"/>
      <c r="CP537" s="45"/>
      <c r="CQ537" s="45"/>
      <c r="CR537" s="45"/>
      <c r="CS537" s="45"/>
      <c r="CT537" s="45"/>
      <c r="CU537" s="45"/>
      <c r="CV537" s="45"/>
      <c r="CW537" s="45"/>
      <c r="CX537" s="45"/>
      <c r="CY537" s="45"/>
      <c r="CZ537" s="45"/>
      <c r="DA537" s="45"/>
      <c r="DB537" s="45"/>
      <c r="DC537" s="45"/>
      <c r="DD537" s="45"/>
      <c r="DE537" s="45"/>
      <c r="DF537" s="45"/>
      <c r="DG537" s="45"/>
      <c r="DH537" s="45"/>
      <c r="DI537" s="45"/>
      <c r="DJ537" s="45"/>
      <c r="DK537" s="45"/>
      <c r="DL537" s="45"/>
      <c r="DM537" s="45"/>
      <c r="DN537" s="45"/>
      <c r="DO537" s="45"/>
      <c r="DP537" s="45"/>
      <c r="DQ537" s="45"/>
      <c r="DR537" s="45"/>
      <c r="DS537" s="45"/>
      <c r="DT537" s="45"/>
      <c r="DU537" s="45"/>
      <c r="DV537" s="45"/>
      <c r="DW537" s="45"/>
      <c r="DX537" s="45"/>
      <c r="DY537" s="45"/>
      <c r="DZ537" s="45"/>
      <c r="EA537" s="45"/>
      <c r="EB537" s="45"/>
      <c r="EC537" s="45"/>
      <c r="ED537" s="45"/>
      <c r="EE537" s="45"/>
      <c r="EF537" s="45"/>
      <c r="EG537" s="45"/>
      <c r="EH537" s="45"/>
      <c r="EI537" s="45"/>
      <c r="EJ537" s="45"/>
      <c r="EK537" s="45"/>
      <c r="EL537" s="45"/>
      <c r="EM537" s="45"/>
      <c r="EN537" s="45"/>
      <c r="EO537" s="45"/>
      <c r="EP537" s="45"/>
      <c r="EQ537" s="45"/>
      <c r="ER537" s="45"/>
      <c r="ES537" s="45"/>
      <c r="ET537" s="45"/>
      <c r="EU537" s="45"/>
      <c r="EV537" s="45"/>
      <c r="EW537" s="45"/>
      <c r="EX537" s="45"/>
      <c r="EY537" s="45"/>
      <c r="EZ537" s="45"/>
      <c r="FA537" s="45"/>
      <c r="FB537" s="45"/>
      <c r="FC537" s="45"/>
      <c r="FD537" s="45"/>
      <c r="FE537" s="45"/>
      <c r="FF537" s="45"/>
      <c r="FG537" s="45"/>
      <c r="FH537" s="45"/>
      <c r="FI537" s="45"/>
      <c r="FJ537" s="45"/>
      <c r="FK537" s="45"/>
      <c r="FL537" s="45"/>
      <c r="FM537" s="45"/>
      <c r="FN537" s="45"/>
      <c r="FO537" s="45"/>
      <c r="FP537" s="45"/>
      <c r="FQ537" s="45"/>
      <c r="FR537" s="45"/>
      <c r="FS537" s="45"/>
      <c r="FT537" s="45"/>
      <c r="FU537" s="45"/>
      <c r="FV537" s="45"/>
      <c r="FW537" s="45"/>
      <c r="FX537" s="45"/>
      <c r="FY537" s="45"/>
      <c r="FZ537" s="45"/>
      <c r="GA537" s="45"/>
      <c r="GB537" s="45"/>
      <c r="GC537" s="45"/>
      <c r="GD537" s="45"/>
      <c r="GE537" s="45"/>
      <c r="GF537" s="45"/>
      <c r="GG537" s="45"/>
      <c r="GH537" s="45"/>
      <c r="GI537" s="45"/>
      <c r="GJ537" s="45"/>
      <c r="GK537" s="45"/>
      <c r="GL537" s="45"/>
      <c r="GM537" s="45"/>
      <c r="GN537" s="45"/>
      <c r="GO537" s="45"/>
      <c r="GP537" s="45"/>
      <c r="GQ537" s="45"/>
      <c r="GR537" s="45"/>
      <c r="GS537" s="45"/>
      <c r="GT537" s="45"/>
      <c r="GU537" s="45"/>
      <c r="GV537" s="45"/>
      <c r="GW537" s="45"/>
      <c r="GX537" s="45"/>
      <c r="GY537" s="45"/>
      <c r="GZ537" s="45"/>
      <c r="HA537" s="45"/>
      <c r="HB537" s="45"/>
      <c r="HC537" s="45"/>
      <c r="HD537" s="45"/>
      <c r="HE537" s="45"/>
      <c r="HF537" s="45"/>
      <c r="HG537" s="45"/>
      <c r="HH537" s="45"/>
      <c r="HI537" s="45"/>
      <c r="HJ537" s="45"/>
      <c r="HK537" s="45"/>
      <c r="HL537" s="45"/>
      <c r="HM537" s="45"/>
      <c r="HN537" s="45"/>
      <c r="HO537" s="45"/>
      <c r="HP537" s="45"/>
      <c r="HQ537" s="45"/>
      <c r="HR537" s="45"/>
      <c r="HS537" s="45"/>
      <c r="HT537" s="45"/>
      <c r="HU537" s="45"/>
      <c r="HV537" s="45"/>
      <c r="HW537" s="45"/>
      <c r="HX537" s="45"/>
      <c r="HY537" s="45"/>
    </row>
    <row r="538" spans="1:233" s="46" customFormat="1" ht="15" customHeight="1">
      <c r="A538" s="73" t="s">
        <v>44</v>
      </c>
      <c r="B538" s="26" t="s">
        <v>10</v>
      </c>
      <c r="C538" s="26" t="s">
        <v>13</v>
      </c>
      <c r="D538" s="26" t="s">
        <v>610</v>
      </c>
      <c r="E538" s="26" t="s">
        <v>67</v>
      </c>
      <c r="F538" s="26" t="s">
        <v>44</v>
      </c>
      <c r="G538" s="26" t="s">
        <v>128</v>
      </c>
      <c r="H538" s="26" t="s">
        <v>22</v>
      </c>
      <c r="I538" s="26" t="s">
        <v>641</v>
      </c>
      <c r="J538" s="26" t="s">
        <v>11</v>
      </c>
      <c r="K538" s="27" t="s">
        <v>24</v>
      </c>
      <c r="L538" s="26">
        <v>326</v>
      </c>
      <c r="M538" s="28">
        <v>137</v>
      </c>
      <c r="N538" s="82">
        <f>M538*100/L538</f>
        <v>42.024539877300612</v>
      </c>
      <c r="O538" s="28">
        <v>132</v>
      </c>
      <c r="P538" s="28">
        <v>3</v>
      </c>
      <c r="Q538" s="82">
        <f>P538*100/O538</f>
        <v>2.2727272727272729</v>
      </c>
      <c r="R538" s="31">
        <v>28</v>
      </c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  <c r="BP538" s="45"/>
      <c r="BQ538" s="45"/>
      <c r="BR538" s="45"/>
      <c r="BS538" s="45"/>
      <c r="BT538" s="45"/>
      <c r="BU538" s="45"/>
      <c r="BV538" s="45"/>
      <c r="BW538" s="45"/>
      <c r="BX538" s="45"/>
      <c r="BY538" s="45"/>
      <c r="BZ538" s="45"/>
      <c r="CA538" s="45"/>
      <c r="CB538" s="45"/>
      <c r="CC538" s="45"/>
      <c r="CD538" s="45"/>
      <c r="CE538" s="45"/>
      <c r="CF538" s="45"/>
      <c r="CG538" s="45"/>
      <c r="CH538" s="45"/>
      <c r="CI538" s="45"/>
      <c r="CJ538" s="45"/>
      <c r="CK538" s="45"/>
      <c r="CL538" s="45"/>
      <c r="CM538" s="45"/>
      <c r="CN538" s="45"/>
      <c r="CO538" s="45"/>
      <c r="CP538" s="45"/>
      <c r="CQ538" s="45"/>
      <c r="CR538" s="45"/>
      <c r="CS538" s="45"/>
      <c r="CT538" s="45"/>
      <c r="CU538" s="45"/>
      <c r="CV538" s="45"/>
      <c r="CW538" s="45"/>
      <c r="CX538" s="45"/>
      <c r="CY538" s="45"/>
      <c r="CZ538" s="45"/>
      <c r="DA538" s="45"/>
      <c r="DB538" s="45"/>
      <c r="DC538" s="45"/>
      <c r="DD538" s="45"/>
      <c r="DE538" s="45"/>
      <c r="DF538" s="45"/>
      <c r="DG538" s="45"/>
      <c r="DH538" s="45"/>
      <c r="DI538" s="45"/>
      <c r="DJ538" s="45"/>
      <c r="DK538" s="45"/>
      <c r="DL538" s="45"/>
      <c r="DM538" s="45"/>
      <c r="DN538" s="45"/>
      <c r="DO538" s="45"/>
      <c r="DP538" s="45"/>
      <c r="DQ538" s="45"/>
      <c r="DR538" s="45"/>
      <c r="DS538" s="45"/>
      <c r="DT538" s="45"/>
      <c r="DU538" s="45"/>
      <c r="DV538" s="45"/>
      <c r="DW538" s="45"/>
      <c r="DX538" s="45"/>
      <c r="DY538" s="45"/>
      <c r="DZ538" s="45"/>
      <c r="EA538" s="45"/>
      <c r="EB538" s="45"/>
      <c r="EC538" s="45"/>
      <c r="ED538" s="45"/>
      <c r="EE538" s="45"/>
      <c r="EF538" s="45"/>
      <c r="EG538" s="45"/>
      <c r="EH538" s="45"/>
      <c r="EI538" s="45"/>
      <c r="EJ538" s="45"/>
      <c r="EK538" s="45"/>
      <c r="EL538" s="45"/>
      <c r="EM538" s="45"/>
      <c r="EN538" s="45"/>
      <c r="EO538" s="45"/>
      <c r="EP538" s="45"/>
      <c r="EQ538" s="45"/>
      <c r="ER538" s="45"/>
      <c r="ES538" s="45"/>
      <c r="ET538" s="45"/>
      <c r="EU538" s="45"/>
      <c r="EV538" s="45"/>
      <c r="EW538" s="45"/>
      <c r="EX538" s="45"/>
      <c r="EY538" s="45"/>
      <c r="EZ538" s="45"/>
      <c r="FA538" s="45"/>
      <c r="FB538" s="45"/>
      <c r="FC538" s="45"/>
      <c r="FD538" s="45"/>
      <c r="FE538" s="45"/>
      <c r="FF538" s="45"/>
      <c r="FG538" s="45"/>
      <c r="FH538" s="45"/>
      <c r="FI538" s="45"/>
      <c r="FJ538" s="45"/>
      <c r="FK538" s="45"/>
      <c r="FL538" s="45"/>
      <c r="FM538" s="45"/>
      <c r="FN538" s="45"/>
      <c r="FO538" s="45"/>
      <c r="FP538" s="45"/>
      <c r="FQ538" s="45"/>
      <c r="FR538" s="45"/>
      <c r="FS538" s="45"/>
      <c r="FT538" s="45"/>
      <c r="FU538" s="45"/>
      <c r="FV538" s="45"/>
      <c r="FW538" s="45"/>
      <c r="FX538" s="45"/>
      <c r="FY538" s="45"/>
      <c r="FZ538" s="45"/>
      <c r="GA538" s="45"/>
      <c r="GB538" s="45"/>
      <c r="GC538" s="45"/>
      <c r="GD538" s="45"/>
      <c r="GE538" s="45"/>
      <c r="GF538" s="45"/>
      <c r="GG538" s="45"/>
      <c r="GH538" s="45"/>
      <c r="GI538" s="45"/>
      <c r="GJ538" s="45"/>
      <c r="GK538" s="45"/>
      <c r="GL538" s="45"/>
      <c r="GM538" s="45"/>
      <c r="GN538" s="45"/>
      <c r="GO538" s="45"/>
      <c r="GP538" s="45"/>
      <c r="GQ538" s="45"/>
      <c r="GR538" s="45"/>
      <c r="GS538" s="45"/>
      <c r="GT538" s="45"/>
      <c r="GU538" s="45"/>
      <c r="GV538" s="45"/>
      <c r="GW538" s="45"/>
      <c r="GX538" s="45"/>
      <c r="GY538" s="45"/>
      <c r="GZ538" s="45"/>
      <c r="HA538" s="45"/>
      <c r="HB538" s="45"/>
      <c r="HC538" s="45"/>
      <c r="HD538" s="45"/>
      <c r="HE538" s="45"/>
      <c r="HF538" s="45"/>
      <c r="HG538" s="45"/>
      <c r="HH538" s="45"/>
      <c r="HI538" s="45"/>
      <c r="HJ538" s="45"/>
      <c r="HK538" s="45"/>
      <c r="HL538" s="45"/>
      <c r="HM538" s="45"/>
      <c r="HN538" s="45"/>
      <c r="HO538" s="45"/>
      <c r="HP538" s="45"/>
      <c r="HQ538" s="45"/>
      <c r="HR538" s="45"/>
      <c r="HS538" s="45"/>
      <c r="HT538" s="45"/>
      <c r="HU538" s="45"/>
      <c r="HV538" s="45"/>
      <c r="HW538" s="45"/>
      <c r="HX538" s="45"/>
      <c r="HY538" s="45"/>
    </row>
    <row r="539" spans="1:233" s="46" customFormat="1" ht="15" customHeight="1">
      <c r="A539" s="73" t="s">
        <v>44</v>
      </c>
      <c r="B539" s="26" t="s">
        <v>10</v>
      </c>
      <c r="C539" s="26" t="s">
        <v>13</v>
      </c>
      <c r="D539" s="26" t="s">
        <v>610</v>
      </c>
      <c r="E539" s="26" t="s">
        <v>67</v>
      </c>
      <c r="F539" s="26" t="s">
        <v>44</v>
      </c>
      <c r="G539" s="26" t="s">
        <v>128</v>
      </c>
      <c r="H539" s="26" t="s">
        <v>22</v>
      </c>
      <c r="I539" s="26" t="s">
        <v>641</v>
      </c>
      <c r="J539" s="26" t="s">
        <v>11</v>
      </c>
      <c r="K539" s="27" t="s">
        <v>25</v>
      </c>
      <c r="L539" s="26">
        <v>228</v>
      </c>
      <c r="M539" s="28">
        <v>118</v>
      </c>
      <c r="N539" s="82">
        <f t="shared" ref="N539:N544" si="112">M539*100/L539</f>
        <v>51.754385964912281</v>
      </c>
      <c r="O539" s="28">
        <v>229</v>
      </c>
      <c r="P539" s="28">
        <v>27</v>
      </c>
      <c r="Q539" s="82">
        <f t="shared" ref="Q539:Q544" si="113">P539*100/O539</f>
        <v>11.790393013100436</v>
      </c>
      <c r="R539" s="31">
        <v>28</v>
      </c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  <c r="BP539" s="45"/>
      <c r="BQ539" s="45"/>
      <c r="BR539" s="45"/>
      <c r="BS539" s="45"/>
      <c r="BT539" s="45"/>
      <c r="BU539" s="45"/>
      <c r="BV539" s="45"/>
      <c r="BW539" s="45"/>
      <c r="BX539" s="45"/>
      <c r="BY539" s="45"/>
      <c r="BZ539" s="45"/>
      <c r="CA539" s="45"/>
      <c r="CB539" s="45"/>
      <c r="CC539" s="45"/>
      <c r="CD539" s="45"/>
      <c r="CE539" s="45"/>
      <c r="CF539" s="45"/>
      <c r="CG539" s="45"/>
      <c r="CH539" s="45"/>
      <c r="CI539" s="45"/>
      <c r="CJ539" s="45"/>
      <c r="CK539" s="45"/>
      <c r="CL539" s="45"/>
      <c r="CM539" s="45"/>
      <c r="CN539" s="45"/>
      <c r="CO539" s="45"/>
      <c r="CP539" s="45"/>
      <c r="CQ539" s="45"/>
      <c r="CR539" s="45"/>
      <c r="CS539" s="45"/>
      <c r="CT539" s="45"/>
      <c r="CU539" s="45"/>
      <c r="CV539" s="45"/>
      <c r="CW539" s="45"/>
      <c r="CX539" s="45"/>
      <c r="CY539" s="45"/>
      <c r="CZ539" s="45"/>
      <c r="DA539" s="45"/>
      <c r="DB539" s="45"/>
      <c r="DC539" s="45"/>
      <c r="DD539" s="45"/>
      <c r="DE539" s="45"/>
      <c r="DF539" s="45"/>
      <c r="DG539" s="45"/>
      <c r="DH539" s="45"/>
      <c r="DI539" s="45"/>
      <c r="DJ539" s="45"/>
      <c r="DK539" s="45"/>
      <c r="DL539" s="45"/>
      <c r="DM539" s="45"/>
      <c r="DN539" s="45"/>
      <c r="DO539" s="45"/>
      <c r="DP539" s="45"/>
      <c r="DQ539" s="45"/>
      <c r="DR539" s="45"/>
      <c r="DS539" s="45"/>
      <c r="DT539" s="45"/>
      <c r="DU539" s="45"/>
      <c r="DV539" s="45"/>
      <c r="DW539" s="45"/>
      <c r="DX539" s="45"/>
      <c r="DY539" s="45"/>
      <c r="DZ539" s="45"/>
      <c r="EA539" s="45"/>
      <c r="EB539" s="45"/>
      <c r="EC539" s="45"/>
      <c r="ED539" s="45"/>
      <c r="EE539" s="45"/>
      <c r="EF539" s="45"/>
      <c r="EG539" s="45"/>
      <c r="EH539" s="45"/>
      <c r="EI539" s="45"/>
      <c r="EJ539" s="45"/>
      <c r="EK539" s="45"/>
      <c r="EL539" s="45"/>
      <c r="EM539" s="45"/>
      <c r="EN539" s="45"/>
      <c r="EO539" s="45"/>
      <c r="EP539" s="45"/>
      <c r="EQ539" s="45"/>
      <c r="ER539" s="45"/>
      <c r="ES539" s="45"/>
      <c r="ET539" s="45"/>
      <c r="EU539" s="45"/>
      <c r="EV539" s="45"/>
      <c r="EW539" s="45"/>
      <c r="EX539" s="45"/>
      <c r="EY539" s="45"/>
      <c r="EZ539" s="45"/>
      <c r="FA539" s="45"/>
      <c r="FB539" s="45"/>
      <c r="FC539" s="45"/>
      <c r="FD539" s="45"/>
      <c r="FE539" s="45"/>
      <c r="FF539" s="45"/>
      <c r="FG539" s="45"/>
      <c r="FH539" s="45"/>
      <c r="FI539" s="45"/>
      <c r="FJ539" s="45"/>
      <c r="FK539" s="45"/>
      <c r="FL539" s="45"/>
      <c r="FM539" s="45"/>
      <c r="FN539" s="45"/>
      <c r="FO539" s="45"/>
      <c r="FP539" s="45"/>
      <c r="FQ539" s="45"/>
      <c r="FR539" s="45"/>
      <c r="FS539" s="45"/>
      <c r="FT539" s="45"/>
      <c r="FU539" s="45"/>
      <c r="FV539" s="45"/>
      <c r="FW539" s="45"/>
      <c r="FX539" s="45"/>
      <c r="FY539" s="45"/>
      <c r="FZ539" s="45"/>
      <c r="GA539" s="45"/>
      <c r="GB539" s="45"/>
      <c r="GC539" s="45"/>
      <c r="GD539" s="45"/>
      <c r="GE539" s="45"/>
      <c r="GF539" s="45"/>
      <c r="GG539" s="45"/>
      <c r="GH539" s="45"/>
      <c r="GI539" s="45"/>
      <c r="GJ539" s="45"/>
      <c r="GK539" s="45"/>
      <c r="GL539" s="45"/>
      <c r="GM539" s="45"/>
      <c r="GN539" s="45"/>
      <c r="GO539" s="45"/>
      <c r="GP539" s="45"/>
      <c r="GQ539" s="45"/>
      <c r="GR539" s="45"/>
      <c r="GS539" s="45"/>
      <c r="GT539" s="45"/>
      <c r="GU539" s="45"/>
      <c r="GV539" s="45"/>
      <c r="GW539" s="45"/>
      <c r="GX539" s="45"/>
      <c r="GY539" s="45"/>
      <c r="GZ539" s="45"/>
      <c r="HA539" s="45"/>
      <c r="HB539" s="45"/>
      <c r="HC539" s="45"/>
      <c r="HD539" s="45"/>
      <c r="HE539" s="45"/>
      <c r="HF539" s="45"/>
      <c r="HG539" s="45"/>
      <c r="HH539" s="45"/>
      <c r="HI539" s="45"/>
      <c r="HJ539" s="45"/>
      <c r="HK539" s="45"/>
      <c r="HL539" s="45"/>
      <c r="HM539" s="45"/>
      <c r="HN539" s="45"/>
      <c r="HO539" s="45"/>
      <c r="HP539" s="45"/>
      <c r="HQ539" s="45"/>
      <c r="HR539" s="45"/>
      <c r="HS539" s="45"/>
      <c r="HT539" s="45"/>
      <c r="HU539" s="45"/>
      <c r="HV539" s="45"/>
      <c r="HW539" s="45"/>
      <c r="HX539" s="45"/>
      <c r="HY539" s="45"/>
    </row>
    <row r="540" spans="1:233" s="46" customFormat="1" ht="15" customHeight="1">
      <c r="A540" s="73" t="s">
        <v>44</v>
      </c>
      <c r="B540" s="26" t="s">
        <v>10</v>
      </c>
      <c r="C540" s="26" t="s">
        <v>13</v>
      </c>
      <c r="D540" s="26" t="s">
        <v>610</v>
      </c>
      <c r="E540" s="26" t="s">
        <v>67</v>
      </c>
      <c r="F540" s="26" t="s">
        <v>44</v>
      </c>
      <c r="G540" s="26" t="s">
        <v>128</v>
      </c>
      <c r="H540" s="26" t="s">
        <v>22</v>
      </c>
      <c r="I540" s="26" t="s">
        <v>641</v>
      </c>
      <c r="J540" s="26" t="s">
        <v>11</v>
      </c>
      <c r="K540" s="27" t="s">
        <v>26</v>
      </c>
      <c r="L540" s="26">
        <v>203</v>
      </c>
      <c r="M540" s="28">
        <v>113</v>
      </c>
      <c r="N540" s="82">
        <f t="shared" si="112"/>
        <v>55.665024630541872</v>
      </c>
      <c r="O540" s="28">
        <v>202</v>
      </c>
      <c r="P540" s="28">
        <v>35</v>
      </c>
      <c r="Q540" s="82">
        <f t="shared" si="113"/>
        <v>17.326732673267326</v>
      </c>
      <c r="R540" s="31">
        <v>28</v>
      </c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  <c r="BP540" s="45"/>
      <c r="BQ540" s="45"/>
      <c r="BR540" s="45"/>
      <c r="BS540" s="45"/>
      <c r="BT540" s="45"/>
      <c r="BU540" s="45"/>
      <c r="BV540" s="45"/>
      <c r="BW540" s="45"/>
      <c r="BX540" s="45"/>
      <c r="BY540" s="45"/>
      <c r="BZ540" s="45"/>
      <c r="CA540" s="45"/>
      <c r="CB540" s="45"/>
      <c r="CC540" s="45"/>
      <c r="CD540" s="45"/>
      <c r="CE540" s="45"/>
      <c r="CF540" s="45"/>
      <c r="CG540" s="45"/>
      <c r="CH540" s="45"/>
      <c r="CI540" s="45"/>
      <c r="CJ540" s="45"/>
      <c r="CK540" s="45"/>
      <c r="CL540" s="45"/>
      <c r="CM540" s="45"/>
      <c r="CN540" s="45"/>
      <c r="CO540" s="45"/>
      <c r="CP540" s="45"/>
      <c r="CQ540" s="45"/>
      <c r="CR540" s="45"/>
      <c r="CS540" s="45"/>
      <c r="CT540" s="45"/>
      <c r="CU540" s="45"/>
      <c r="CV540" s="45"/>
      <c r="CW540" s="45"/>
      <c r="CX540" s="45"/>
      <c r="CY540" s="45"/>
      <c r="CZ540" s="45"/>
      <c r="DA540" s="45"/>
      <c r="DB540" s="45"/>
      <c r="DC540" s="45"/>
      <c r="DD540" s="45"/>
      <c r="DE540" s="45"/>
      <c r="DF540" s="45"/>
      <c r="DG540" s="45"/>
      <c r="DH540" s="45"/>
      <c r="DI540" s="45"/>
      <c r="DJ540" s="45"/>
      <c r="DK540" s="45"/>
      <c r="DL540" s="45"/>
      <c r="DM540" s="45"/>
      <c r="DN540" s="45"/>
      <c r="DO540" s="45"/>
      <c r="DP540" s="45"/>
      <c r="DQ540" s="45"/>
      <c r="DR540" s="45"/>
      <c r="DS540" s="45"/>
      <c r="DT540" s="45"/>
      <c r="DU540" s="45"/>
      <c r="DV540" s="45"/>
      <c r="DW540" s="45"/>
      <c r="DX540" s="45"/>
      <c r="DY540" s="45"/>
      <c r="DZ540" s="45"/>
      <c r="EA540" s="45"/>
      <c r="EB540" s="45"/>
      <c r="EC540" s="45"/>
      <c r="ED540" s="45"/>
      <c r="EE540" s="45"/>
      <c r="EF540" s="45"/>
      <c r="EG540" s="45"/>
      <c r="EH540" s="45"/>
      <c r="EI540" s="45"/>
      <c r="EJ540" s="45"/>
      <c r="EK540" s="45"/>
      <c r="EL540" s="45"/>
      <c r="EM540" s="45"/>
      <c r="EN540" s="45"/>
      <c r="EO540" s="45"/>
      <c r="EP540" s="45"/>
      <c r="EQ540" s="45"/>
      <c r="ER540" s="45"/>
      <c r="ES540" s="45"/>
      <c r="ET540" s="45"/>
      <c r="EU540" s="45"/>
      <c r="EV540" s="45"/>
      <c r="EW540" s="45"/>
      <c r="EX540" s="45"/>
      <c r="EY540" s="45"/>
      <c r="EZ540" s="45"/>
      <c r="FA540" s="45"/>
      <c r="FB540" s="45"/>
      <c r="FC540" s="45"/>
      <c r="FD540" s="45"/>
      <c r="FE540" s="45"/>
      <c r="FF540" s="45"/>
      <c r="FG540" s="45"/>
      <c r="FH540" s="45"/>
      <c r="FI540" s="45"/>
      <c r="FJ540" s="45"/>
      <c r="FK540" s="45"/>
      <c r="FL540" s="45"/>
      <c r="FM540" s="45"/>
      <c r="FN540" s="45"/>
      <c r="FO540" s="45"/>
      <c r="FP540" s="45"/>
      <c r="FQ540" s="45"/>
      <c r="FR540" s="45"/>
      <c r="FS540" s="45"/>
      <c r="FT540" s="45"/>
      <c r="FU540" s="45"/>
      <c r="FV540" s="45"/>
      <c r="FW540" s="45"/>
      <c r="FX540" s="45"/>
      <c r="FY540" s="45"/>
      <c r="FZ540" s="45"/>
      <c r="GA540" s="45"/>
      <c r="GB540" s="45"/>
      <c r="GC540" s="45"/>
      <c r="GD540" s="45"/>
      <c r="GE540" s="45"/>
      <c r="GF540" s="45"/>
      <c r="GG540" s="45"/>
      <c r="GH540" s="45"/>
      <c r="GI540" s="45"/>
      <c r="GJ540" s="45"/>
      <c r="GK540" s="45"/>
      <c r="GL540" s="45"/>
      <c r="GM540" s="45"/>
      <c r="GN540" s="45"/>
      <c r="GO540" s="45"/>
      <c r="GP540" s="45"/>
      <c r="GQ540" s="45"/>
      <c r="GR540" s="45"/>
      <c r="GS540" s="45"/>
      <c r="GT540" s="45"/>
      <c r="GU540" s="45"/>
      <c r="GV540" s="45"/>
      <c r="GW540" s="45"/>
      <c r="GX540" s="45"/>
      <c r="GY540" s="45"/>
      <c r="GZ540" s="45"/>
      <c r="HA540" s="45"/>
      <c r="HB540" s="45"/>
      <c r="HC540" s="45"/>
      <c r="HD540" s="45"/>
      <c r="HE540" s="45"/>
      <c r="HF540" s="45"/>
      <c r="HG540" s="45"/>
      <c r="HH540" s="45"/>
      <c r="HI540" s="45"/>
      <c r="HJ540" s="45"/>
      <c r="HK540" s="45"/>
      <c r="HL540" s="45"/>
      <c r="HM540" s="45"/>
      <c r="HN540" s="45"/>
      <c r="HO540" s="45"/>
      <c r="HP540" s="45"/>
      <c r="HQ540" s="45"/>
      <c r="HR540" s="45"/>
      <c r="HS540" s="45"/>
      <c r="HT540" s="45"/>
      <c r="HU540" s="45"/>
      <c r="HV540" s="45"/>
      <c r="HW540" s="45"/>
      <c r="HX540" s="45"/>
      <c r="HY540" s="45"/>
    </row>
    <row r="541" spans="1:233" s="46" customFormat="1" ht="15" customHeight="1">
      <c r="A541" s="73" t="s">
        <v>44</v>
      </c>
      <c r="B541" s="26" t="s">
        <v>10</v>
      </c>
      <c r="C541" s="26" t="s">
        <v>13</v>
      </c>
      <c r="D541" s="26" t="s">
        <v>610</v>
      </c>
      <c r="E541" s="26" t="s">
        <v>67</v>
      </c>
      <c r="F541" s="26" t="s">
        <v>44</v>
      </c>
      <c r="G541" s="26" t="s">
        <v>128</v>
      </c>
      <c r="H541" s="26" t="s">
        <v>22</v>
      </c>
      <c r="I541" s="26" t="s">
        <v>641</v>
      </c>
      <c r="J541" s="26" t="s">
        <v>11</v>
      </c>
      <c r="K541" s="27" t="s">
        <v>27</v>
      </c>
      <c r="L541" s="26">
        <v>219</v>
      </c>
      <c r="M541" s="28">
        <v>140</v>
      </c>
      <c r="N541" s="82">
        <f t="shared" si="112"/>
        <v>63.926940639269404</v>
      </c>
      <c r="O541" s="28">
        <v>218</v>
      </c>
      <c r="P541" s="28">
        <v>54</v>
      </c>
      <c r="Q541" s="82">
        <f t="shared" si="113"/>
        <v>24.770642201834864</v>
      </c>
      <c r="R541" s="31">
        <v>28</v>
      </c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  <c r="BP541" s="45"/>
      <c r="BQ541" s="45"/>
      <c r="BR541" s="45"/>
      <c r="BS541" s="45"/>
      <c r="BT541" s="45"/>
      <c r="BU541" s="45"/>
      <c r="BV541" s="45"/>
      <c r="BW541" s="45"/>
      <c r="BX541" s="45"/>
      <c r="BY541" s="45"/>
      <c r="BZ541" s="45"/>
      <c r="CA541" s="45"/>
      <c r="CB541" s="45"/>
      <c r="CC541" s="45"/>
      <c r="CD541" s="45"/>
      <c r="CE541" s="45"/>
      <c r="CF541" s="45"/>
      <c r="CG541" s="45"/>
      <c r="CH541" s="45"/>
      <c r="CI541" s="45"/>
      <c r="CJ541" s="45"/>
      <c r="CK541" s="45"/>
      <c r="CL541" s="45"/>
      <c r="CM541" s="45"/>
      <c r="CN541" s="45"/>
      <c r="CO541" s="45"/>
      <c r="CP541" s="45"/>
      <c r="CQ541" s="45"/>
      <c r="CR541" s="45"/>
      <c r="CS541" s="45"/>
      <c r="CT541" s="45"/>
      <c r="CU541" s="45"/>
      <c r="CV541" s="45"/>
      <c r="CW541" s="45"/>
      <c r="CX541" s="45"/>
      <c r="CY541" s="45"/>
      <c r="CZ541" s="45"/>
      <c r="DA541" s="45"/>
      <c r="DB541" s="45"/>
      <c r="DC541" s="45"/>
      <c r="DD541" s="45"/>
      <c r="DE541" s="45"/>
      <c r="DF541" s="45"/>
      <c r="DG541" s="45"/>
      <c r="DH541" s="45"/>
      <c r="DI541" s="45"/>
      <c r="DJ541" s="45"/>
      <c r="DK541" s="45"/>
      <c r="DL541" s="45"/>
      <c r="DM541" s="45"/>
      <c r="DN541" s="45"/>
      <c r="DO541" s="45"/>
      <c r="DP541" s="45"/>
      <c r="DQ541" s="45"/>
      <c r="DR541" s="45"/>
      <c r="DS541" s="45"/>
      <c r="DT541" s="45"/>
      <c r="DU541" s="45"/>
      <c r="DV541" s="45"/>
      <c r="DW541" s="45"/>
      <c r="DX541" s="45"/>
      <c r="DY541" s="45"/>
      <c r="DZ541" s="45"/>
      <c r="EA541" s="45"/>
      <c r="EB541" s="45"/>
      <c r="EC541" s="45"/>
      <c r="ED541" s="45"/>
      <c r="EE541" s="45"/>
      <c r="EF541" s="45"/>
      <c r="EG541" s="45"/>
      <c r="EH541" s="45"/>
      <c r="EI541" s="45"/>
      <c r="EJ541" s="45"/>
      <c r="EK541" s="45"/>
      <c r="EL541" s="45"/>
      <c r="EM541" s="45"/>
      <c r="EN541" s="45"/>
      <c r="EO541" s="45"/>
      <c r="EP541" s="45"/>
      <c r="EQ541" s="45"/>
      <c r="ER541" s="45"/>
      <c r="ES541" s="45"/>
      <c r="ET541" s="45"/>
      <c r="EU541" s="45"/>
      <c r="EV541" s="45"/>
      <c r="EW541" s="45"/>
      <c r="EX541" s="45"/>
      <c r="EY541" s="45"/>
      <c r="EZ541" s="45"/>
      <c r="FA541" s="45"/>
      <c r="FB541" s="45"/>
      <c r="FC541" s="45"/>
      <c r="FD541" s="45"/>
      <c r="FE541" s="45"/>
      <c r="FF541" s="45"/>
      <c r="FG541" s="45"/>
      <c r="FH541" s="45"/>
      <c r="FI541" s="45"/>
      <c r="FJ541" s="45"/>
      <c r="FK541" s="45"/>
      <c r="FL541" s="45"/>
      <c r="FM541" s="45"/>
      <c r="FN541" s="45"/>
      <c r="FO541" s="45"/>
      <c r="FP541" s="45"/>
      <c r="FQ541" s="45"/>
      <c r="FR541" s="45"/>
      <c r="FS541" s="45"/>
      <c r="FT541" s="45"/>
      <c r="FU541" s="45"/>
      <c r="FV541" s="45"/>
      <c r="FW541" s="45"/>
      <c r="FX541" s="45"/>
      <c r="FY541" s="45"/>
      <c r="FZ541" s="45"/>
      <c r="GA541" s="45"/>
      <c r="GB541" s="45"/>
      <c r="GC541" s="45"/>
      <c r="GD541" s="45"/>
      <c r="GE541" s="45"/>
      <c r="GF541" s="45"/>
      <c r="GG541" s="45"/>
      <c r="GH541" s="45"/>
      <c r="GI541" s="45"/>
      <c r="GJ541" s="45"/>
      <c r="GK541" s="45"/>
      <c r="GL541" s="45"/>
      <c r="GM541" s="45"/>
      <c r="GN541" s="45"/>
      <c r="GO541" s="45"/>
      <c r="GP541" s="45"/>
      <c r="GQ541" s="45"/>
      <c r="GR541" s="45"/>
      <c r="GS541" s="45"/>
      <c r="GT541" s="45"/>
      <c r="GU541" s="45"/>
      <c r="GV541" s="45"/>
      <c r="GW541" s="45"/>
      <c r="GX541" s="45"/>
      <c r="GY541" s="45"/>
      <c r="GZ541" s="45"/>
      <c r="HA541" s="45"/>
      <c r="HB541" s="45"/>
      <c r="HC541" s="45"/>
      <c r="HD541" s="45"/>
      <c r="HE541" s="45"/>
      <c r="HF541" s="45"/>
      <c r="HG541" s="45"/>
      <c r="HH541" s="45"/>
      <c r="HI541" s="45"/>
      <c r="HJ541" s="45"/>
      <c r="HK541" s="45"/>
      <c r="HL541" s="45"/>
      <c r="HM541" s="45"/>
      <c r="HN541" s="45"/>
      <c r="HO541" s="45"/>
      <c r="HP541" s="45"/>
      <c r="HQ541" s="45"/>
      <c r="HR541" s="45"/>
      <c r="HS541" s="45"/>
      <c r="HT541" s="45"/>
      <c r="HU541" s="45"/>
      <c r="HV541" s="45"/>
      <c r="HW541" s="45"/>
      <c r="HX541" s="45"/>
      <c r="HY541" s="45"/>
    </row>
    <row r="542" spans="1:233" s="46" customFormat="1" ht="15" customHeight="1">
      <c r="A542" s="73" t="s">
        <v>44</v>
      </c>
      <c r="B542" s="26" t="s">
        <v>10</v>
      </c>
      <c r="C542" s="26" t="s">
        <v>13</v>
      </c>
      <c r="D542" s="26" t="s">
        <v>610</v>
      </c>
      <c r="E542" s="26" t="s">
        <v>67</v>
      </c>
      <c r="F542" s="26" t="s">
        <v>44</v>
      </c>
      <c r="G542" s="26" t="s">
        <v>128</v>
      </c>
      <c r="H542" s="26" t="s">
        <v>22</v>
      </c>
      <c r="I542" s="26" t="s">
        <v>641</v>
      </c>
      <c r="J542" s="26" t="s">
        <v>11</v>
      </c>
      <c r="K542" s="27" t="s">
        <v>28</v>
      </c>
      <c r="L542" s="26">
        <v>210</v>
      </c>
      <c r="M542" s="28">
        <v>150</v>
      </c>
      <c r="N542" s="82">
        <f t="shared" si="112"/>
        <v>71.428571428571431</v>
      </c>
      <c r="O542" s="28">
        <v>212</v>
      </c>
      <c r="P542" s="28">
        <v>67</v>
      </c>
      <c r="Q542" s="82">
        <f t="shared" si="113"/>
        <v>31.60377358490566</v>
      </c>
      <c r="R542" s="31">
        <v>28</v>
      </c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  <c r="BP542" s="45"/>
      <c r="BQ542" s="45"/>
      <c r="BR542" s="45"/>
      <c r="BS542" s="45"/>
      <c r="BT542" s="45"/>
      <c r="BU542" s="45"/>
      <c r="BV542" s="45"/>
      <c r="BW542" s="45"/>
      <c r="BX542" s="45"/>
      <c r="BY542" s="45"/>
      <c r="BZ542" s="45"/>
      <c r="CA542" s="45"/>
      <c r="CB542" s="45"/>
      <c r="CC542" s="45"/>
      <c r="CD542" s="45"/>
      <c r="CE542" s="45"/>
      <c r="CF542" s="45"/>
      <c r="CG542" s="45"/>
      <c r="CH542" s="45"/>
      <c r="CI542" s="45"/>
      <c r="CJ542" s="45"/>
      <c r="CK542" s="45"/>
      <c r="CL542" s="45"/>
      <c r="CM542" s="45"/>
      <c r="CN542" s="45"/>
      <c r="CO542" s="45"/>
      <c r="CP542" s="45"/>
      <c r="CQ542" s="45"/>
      <c r="CR542" s="45"/>
      <c r="CS542" s="45"/>
      <c r="CT542" s="45"/>
      <c r="CU542" s="45"/>
      <c r="CV542" s="45"/>
      <c r="CW542" s="45"/>
      <c r="CX542" s="45"/>
      <c r="CY542" s="45"/>
      <c r="CZ542" s="45"/>
      <c r="DA542" s="45"/>
      <c r="DB542" s="45"/>
      <c r="DC542" s="45"/>
      <c r="DD542" s="45"/>
      <c r="DE542" s="45"/>
      <c r="DF542" s="45"/>
      <c r="DG542" s="45"/>
      <c r="DH542" s="45"/>
      <c r="DI542" s="45"/>
      <c r="DJ542" s="45"/>
      <c r="DK542" s="45"/>
      <c r="DL542" s="45"/>
      <c r="DM542" s="45"/>
      <c r="DN542" s="45"/>
      <c r="DO542" s="45"/>
      <c r="DP542" s="45"/>
      <c r="DQ542" s="45"/>
      <c r="DR542" s="45"/>
      <c r="DS542" s="45"/>
      <c r="DT542" s="45"/>
      <c r="DU542" s="45"/>
      <c r="DV542" s="45"/>
      <c r="DW542" s="45"/>
      <c r="DX542" s="45"/>
      <c r="DY542" s="45"/>
      <c r="DZ542" s="45"/>
      <c r="EA542" s="45"/>
      <c r="EB542" s="45"/>
      <c r="EC542" s="45"/>
      <c r="ED542" s="45"/>
      <c r="EE542" s="45"/>
      <c r="EF542" s="45"/>
      <c r="EG542" s="45"/>
      <c r="EH542" s="45"/>
      <c r="EI542" s="45"/>
      <c r="EJ542" s="45"/>
      <c r="EK542" s="45"/>
      <c r="EL542" s="45"/>
      <c r="EM542" s="45"/>
      <c r="EN542" s="45"/>
      <c r="EO542" s="45"/>
      <c r="EP542" s="45"/>
      <c r="EQ542" s="45"/>
      <c r="ER542" s="45"/>
      <c r="ES542" s="45"/>
      <c r="ET542" s="45"/>
      <c r="EU542" s="45"/>
      <c r="EV542" s="45"/>
      <c r="EW542" s="45"/>
      <c r="EX542" s="45"/>
      <c r="EY542" s="45"/>
      <c r="EZ542" s="45"/>
      <c r="FA542" s="45"/>
      <c r="FB542" s="45"/>
      <c r="FC542" s="45"/>
      <c r="FD542" s="45"/>
      <c r="FE542" s="45"/>
      <c r="FF542" s="45"/>
      <c r="FG542" s="45"/>
      <c r="FH542" s="45"/>
      <c r="FI542" s="45"/>
      <c r="FJ542" s="45"/>
      <c r="FK542" s="45"/>
      <c r="FL542" s="45"/>
      <c r="FM542" s="45"/>
      <c r="FN542" s="45"/>
      <c r="FO542" s="45"/>
      <c r="FP542" s="45"/>
      <c r="FQ542" s="45"/>
      <c r="FR542" s="45"/>
      <c r="FS542" s="45"/>
      <c r="FT542" s="45"/>
      <c r="FU542" s="45"/>
      <c r="FV542" s="45"/>
      <c r="FW542" s="45"/>
      <c r="FX542" s="45"/>
      <c r="FY542" s="45"/>
      <c r="FZ542" s="45"/>
      <c r="GA542" s="45"/>
      <c r="GB542" s="45"/>
      <c r="GC542" s="45"/>
      <c r="GD542" s="45"/>
      <c r="GE542" s="45"/>
      <c r="GF542" s="45"/>
      <c r="GG542" s="45"/>
      <c r="GH542" s="45"/>
      <c r="GI542" s="45"/>
      <c r="GJ542" s="45"/>
      <c r="GK542" s="45"/>
      <c r="GL542" s="45"/>
      <c r="GM542" s="45"/>
      <c r="GN542" s="45"/>
      <c r="GO542" s="45"/>
      <c r="GP542" s="45"/>
      <c r="GQ542" s="45"/>
      <c r="GR542" s="45"/>
      <c r="GS542" s="45"/>
      <c r="GT542" s="45"/>
      <c r="GU542" s="45"/>
      <c r="GV542" s="45"/>
      <c r="GW542" s="45"/>
      <c r="GX542" s="45"/>
      <c r="GY542" s="45"/>
      <c r="GZ542" s="45"/>
      <c r="HA542" s="45"/>
      <c r="HB542" s="45"/>
      <c r="HC542" s="45"/>
      <c r="HD542" s="45"/>
      <c r="HE542" s="45"/>
      <c r="HF542" s="45"/>
      <c r="HG542" s="45"/>
      <c r="HH542" s="45"/>
      <c r="HI542" s="45"/>
      <c r="HJ542" s="45"/>
      <c r="HK542" s="45"/>
      <c r="HL542" s="45"/>
      <c r="HM542" s="45"/>
      <c r="HN542" s="45"/>
      <c r="HO542" s="45"/>
      <c r="HP542" s="45"/>
      <c r="HQ542" s="45"/>
      <c r="HR542" s="45"/>
      <c r="HS542" s="45"/>
      <c r="HT542" s="45"/>
      <c r="HU542" s="45"/>
      <c r="HV542" s="45"/>
      <c r="HW542" s="45"/>
      <c r="HX542" s="45"/>
      <c r="HY542" s="45"/>
    </row>
    <row r="543" spans="1:233" s="46" customFormat="1" ht="15" customHeight="1">
      <c r="A543" s="73" t="s">
        <v>44</v>
      </c>
      <c r="B543" s="26" t="s">
        <v>10</v>
      </c>
      <c r="C543" s="26" t="s">
        <v>13</v>
      </c>
      <c r="D543" s="26" t="s">
        <v>610</v>
      </c>
      <c r="E543" s="26" t="s">
        <v>67</v>
      </c>
      <c r="F543" s="26" t="s">
        <v>44</v>
      </c>
      <c r="G543" s="26" t="s">
        <v>128</v>
      </c>
      <c r="H543" s="26" t="s">
        <v>22</v>
      </c>
      <c r="I543" s="26" t="s">
        <v>641</v>
      </c>
      <c r="J543" s="26" t="s">
        <v>11</v>
      </c>
      <c r="K543" s="27" t="s">
        <v>72</v>
      </c>
      <c r="L543" s="26">
        <v>211</v>
      </c>
      <c r="M543" s="28">
        <v>164</v>
      </c>
      <c r="N543" s="82">
        <f t="shared" si="112"/>
        <v>77.725118483412317</v>
      </c>
      <c r="O543" s="28">
        <v>210</v>
      </c>
      <c r="P543" s="28">
        <v>87</v>
      </c>
      <c r="Q543" s="82">
        <f t="shared" si="113"/>
        <v>41.428571428571431</v>
      </c>
      <c r="R543" s="31">
        <v>28</v>
      </c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  <c r="BP543" s="45"/>
      <c r="BQ543" s="45"/>
      <c r="BR543" s="45"/>
      <c r="BS543" s="45"/>
      <c r="BT543" s="45"/>
      <c r="BU543" s="45"/>
      <c r="BV543" s="45"/>
      <c r="BW543" s="45"/>
      <c r="BX543" s="45"/>
      <c r="BY543" s="45"/>
      <c r="BZ543" s="45"/>
      <c r="CA543" s="45"/>
      <c r="CB543" s="45"/>
      <c r="CC543" s="45"/>
      <c r="CD543" s="45"/>
      <c r="CE543" s="45"/>
      <c r="CF543" s="45"/>
      <c r="CG543" s="45"/>
      <c r="CH543" s="45"/>
      <c r="CI543" s="45"/>
      <c r="CJ543" s="45"/>
      <c r="CK543" s="45"/>
      <c r="CL543" s="45"/>
      <c r="CM543" s="45"/>
      <c r="CN543" s="45"/>
      <c r="CO543" s="45"/>
      <c r="CP543" s="45"/>
      <c r="CQ543" s="45"/>
      <c r="CR543" s="45"/>
      <c r="CS543" s="45"/>
      <c r="CT543" s="45"/>
      <c r="CU543" s="45"/>
      <c r="CV543" s="45"/>
      <c r="CW543" s="45"/>
      <c r="CX543" s="45"/>
      <c r="CY543" s="45"/>
      <c r="CZ543" s="45"/>
      <c r="DA543" s="45"/>
      <c r="DB543" s="45"/>
      <c r="DC543" s="45"/>
      <c r="DD543" s="45"/>
      <c r="DE543" s="45"/>
      <c r="DF543" s="45"/>
      <c r="DG543" s="45"/>
      <c r="DH543" s="45"/>
      <c r="DI543" s="45"/>
      <c r="DJ543" s="45"/>
      <c r="DK543" s="45"/>
      <c r="DL543" s="45"/>
      <c r="DM543" s="45"/>
      <c r="DN543" s="45"/>
      <c r="DO543" s="45"/>
      <c r="DP543" s="45"/>
      <c r="DQ543" s="45"/>
      <c r="DR543" s="45"/>
      <c r="DS543" s="45"/>
      <c r="DT543" s="45"/>
      <c r="DU543" s="45"/>
      <c r="DV543" s="45"/>
      <c r="DW543" s="45"/>
      <c r="DX543" s="45"/>
      <c r="DY543" s="45"/>
      <c r="DZ543" s="45"/>
      <c r="EA543" s="45"/>
      <c r="EB543" s="45"/>
      <c r="EC543" s="45"/>
      <c r="ED543" s="45"/>
      <c r="EE543" s="45"/>
      <c r="EF543" s="45"/>
      <c r="EG543" s="45"/>
      <c r="EH543" s="45"/>
      <c r="EI543" s="45"/>
      <c r="EJ543" s="45"/>
      <c r="EK543" s="45"/>
      <c r="EL543" s="45"/>
      <c r="EM543" s="45"/>
      <c r="EN543" s="45"/>
      <c r="EO543" s="45"/>
      <c r="EP543" s="45"/>
      <c r="EQ543" s="45"/>
      <c r="ER543" s="45"/>
      <c r="ES543" s="45"/>
      <c r="ET543" s="45"/>
      <c r="EU543" s="45"/>
      <c r="EV543" s="45"/>
      <c r="EW543" s="45"/>
      <c r="EX543" s="45"/>
      <c r="EY543" s="45"/>
      <c r="EZ543" s="45"/>
      <c r="FA543" s="45"/>
      <c r="FB543" s="45"/>
      <c r="FC543" s="45"/>
      <c r="FD543" s="45"/>
      <c r="FE543" s="45"/>
      <c r="FF543" s="45"/>
      <c r="FG543" s="45"/>
      <c r="FH543" s="45"/>
      <c r="FI543" s="45"/>
      <c r="FJ543" s="45"/>
      <c r="FK543" s="45"/>
      <c r="FL543" s="45"/>
      <c r="FM543" s="45"/>
      <c r="FN543" s="45"/>
      <c r="FO543" s="45"/>
      <c r="FP543" s="45"/>
      <c r="FQ543" s="45"/>
      <c r="FR543" s="45"/>
      <c r="FS543" s="45"/>
      <c r="FT543" s="45"/>
      <c r="FU543" s="45"/>
      <c r="FV543" s="45"/>
      <c r="FW543" s="45"/>
      <c r="FX543" s="45"/>
      <c r="FY543" s="45"/>
      <c r="FZ543" s="45"/>
      <c r="GA543" s="45"/>
      <c r="GB543" s="45"/>
      <c r="GC543" s="45"/>
      <c r="GD543" s="45"/>
      <c r="GE543" s="45"/>
      <c r="GF543" s="45"/>
      <c r="GG543" s="45"/>
      <c r="GH543" s="45"/>
      <c r="GI543" s="45"/>
      <c r="GJ543" s="45"/>
      <c r="GK543" s="45"/>
      <c r="GL543" s="45"/>
      <c r="GM543" s="45"/>
      <c r="GN543" s="45"/>
      <c r="GO543" s="45"/>
      <c r="GP543" s="45"/>
      <c r="GQ543" s="45"/>
      <c r="GR543" s="45"/>
      <c r="GS543" s="45"/>
      <c r="GT543" s="45"/>
      <c r="GU543" s="45"/>
      <c r="GV543" s="45"/>
      <c r="GW543" s="45"/>
      <c r="GX543" s="45"/>
      <c r="GY543" s="45"/>
      <c r="GZ543" s="45"/>
      <c r="HA543" s="45"/>
      <c r="HB543" s="45"/>
      <c r="HC543" s="45"/>
      <c r="HD543" s="45"/>
      <c r="HE543" s="45"/>
      <c r="HF543" s="45"/>
      <c r="HG543" s="45"/>
      <c r="HH543" s="45"/>
      <c r="HI543" s="45"/>
      <c r="HJ543" s="45"/>
      <c r="HK543" s="45"/>
      <c r="HL543" s="45"/>
      <c r="HM543" s="45"/>
      <c r="HN543" s="45"/>
      <c r="HO543" s="45"/>
      <c r="HP543" s="45"/>
      <c r="HQ543" s="45"/>
      <c r="HR543" s="45"/>
      <c r="HS543" s="45"/>
      <c r="HT543" s="45"/>
      <c r="HU543" s="45"/>
      <c r="HV543" s="45"/>
      <c r="HW543" s="45"/>
      <c r="HX543" s="45"/>
      <c r="HY543" s="45"/>
    </row>
    <row r="544" spans="1:233" s="46" customFormat="1" ht="15" customHeight="1">
      <c r="A544" s="73" t="s">
        <v>44</v>
      </c>
      <c r="B544" s="26" t="s">
        <v>10</v>
      </c>
      <c r="C544" s="26" t="s">
        <v>13</v>
      </c>
      <c r="D544" s="26" t="s">
        <v>610</v>
      </c>
      <c r="E544" s="26" t="s">
        <v>67</v>
      </c>
      <c r="F544" s="26" t="s">
        <v>44</v>
      </c>
      <c r="G544" s="26" t="s">
        <v>128</v>
      </c>
      <c r="H544" s="26" t="s">
        <v>22</v>
      </c>
      <c r="I544" s="26" t="s">
        <v>641</v>
      </c>
      <c r="J544" s="26" t="s">
        <v>11</v>
      </c>
      <c r="K544" s="27" t="s">
        <v>73</v>
      </c>
      <c r="L544" s="26">
        <v>203</v>
      </c>
      <c r="M544" s="28">
        <v>157</v>
      </c>
      <c r="N544" s="82">
        <f t="shared" si="112"/>
        <v>77.339901477832512</v>
      </c>
      <c r="O544" s="28">
        <v>202</v>
      </c>
      <c r="P544" s="28">
        <v>75</v>
      </c>
      <c r="Q544" s="82">
        <f t="shared" si="113"/>
        <v>37.128712871287128</v>
      </c>
      <c r="R544" s="31">
        <v>28</v>
      </c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  <c r="BP544" s="45"/>
      <c r="BQ544" s="45"/>
      <c r="BR544" s="45"/>
      <c r="BS544" s="45"/>
      <c r="BT544" s="45"/>
      <c r="BU544" s="45"/>
      <c r="BV544" s="45"/>
      <c r="BW544" s="45"/>
      <c r="BX544" s="45"/>
      <c r="BY544" s="45"/>
      <c r="BZ544" s="45"/>
      <c r="CA544" s="45"/>
      <c r="CB544" s="45"/>
      <c r="CC544" s="45"/>
      <c r="CD544" s="45"/>
      <c r="CE544" s="45"/>
      <c r="CF544" s="45"/>
      <c r="CG544" s="45"/>
      <c r="CH544" s="45"/>
      <c r="CI544" s="45"/>
      <c r="CJ544" s="45"/>
      <c r="CK544" s="45"/>
      <c r="CL544" s="45"/>
      <c r="CM544" s="45"/>
      <c r="CN544" s="45"/>
      <c r="CO544" s="45"/>
      <c r="CP544" s="45"/>
      <c r="CQ544" s="45"/>
      <c r="CR544" s="45"/>
      <c r="CS544" s="45"/>
      <c r="CT544" s="45"/>
      <c r="CU544" s="45"/>
      <c r="CV544" s="45"/>
      <c r="CW544" s="45"/>
      <c r="CX544" s="45"/>
      <c r="CY544" s="45"/>
      <c r="CZ544" s="45"/>
      <c r="DA544" s="45"/>
      <c r="DB544" s="45"/>
      <c r="DC544" s="45"/>
      <c r="DD544" s="45"/>
      <c r="DE544" s="45"/>
      <c r="DF544" s="45"/>
      <c r="DG544" s="45"/>
      <c r="DH544" s="45"/>
      <c r="DI544" s="45"/>
      <c r="DJ544" s="45"/>
      <c r="DK544" s="45"/>
      <c r="DL544" s="45"/>
      <c r="DM544" s="45"/>
      <c r="DN544" s="45"/>
      <c r="DO544" s="45"/>
      <c r="DP544" s="45"/>
      <c r="DQ544" s="45"/>
      <c r="DR544" s="45"/>
      <c r="DS544" s="45"/>
      <c r="DT544" s="45"/>
      <c r="DU544" s="45"/>
      <c r="DV544" s="45"/>
      <c r="DW544" s="45"/>
      <c r="DX544" s="45"/>
      <c r="DY544" s="45"/>
      <c r="DZ544" s="45"/>
      <c r="EA544" s="45"/>
      <c r="EB544" s="45"/>
      <c r="EC544" s="45"/>
      <c r="ED544" s="45"/>
      <c r="EE544" s="45"/>
      <c r="EF544" s="45"/>
      <c r="EG544" s="45"/>
      <c r="EH544" s="45"/>
      <c r="EI544" s="45"/>
      <c r="EJ544" s="45"/>
      <c r="EK544" s="45"/>
      <c r="EL544" s="45"/>
      <c r="EM544" s="45"/>
      <c r="EN544" s="45"/>
      <c r="EO544" s="45"/>
      <c r="EP544" s="45"/>
      <c r="EQ544" s="45"/>
      <c r="ER544" s="45"/>
      <c r="ES544" s="45"/>
      <c r="ET544" s="45"/>
      <c r="EU544" s="45"/>
      <c r="EV544" s="45"/>
      <c r="EW544" s="45"/>
      <c r="EX544" s="45"/>
      <c r="EY544" s="45"/>
      <c r="EZ544" s="45"/>
      <c r="FA544" s="45"/>
      <c r="FB544" s="45"/>
      <c r="FC544" s="45"/>
      <c r="FD544" s="45"/>
      <c r="FE544" s="45"/>
      <c r="FF544" s="45"/>
      <c r="FG544" s="45"/>
      <c r="FH544" s="45"/>
      <c r="FI544" s="45"/>
      <c r="FJ544" s="45"/>
      <c r="FK544" s="45"/>
      <c r="FL544" s="45"/>
      <c r="FM544" s="45"/>
      <c r="FN544" s="45"/>
      <c r="FO544" s="45"/>
      <c r="FP544" s="45"/>
      <c r="FQ544" s="45"/>
      <c r="FR544" s="45"/>
      <c r="FS544" s="45"/>
      <c r="FT544" s="45"/>
      <c r="FU544" s="45"/>
      <c r="FV544" s="45"/>
      <c r="FW544" s="45"/>
      <c r="FX544" s="45"/>
      <c r="FY544" s="45"/>
      <c r="FZ544" s="45"/>
      <c r="GA544" s="45"/>
      <c r="GB544" s="45"/>
      <c r="GC544" s="45"/>
      <c r="GD544" s="45"/>
      <c r="GE544" s="45"/>
      <c r="GF544" s="45"/>
      <c r="GG544" s="45"/>
      <c r="GH544" s="45"/>
      <c r="GI544" s="45"/>
      <c r="GJ544" s="45"/>
      <c r="GK544" s="45"/>
      <c r="GL544" s="45"/>
      <c r="GM544" s="45"/>
      <c r="GN544" s="45"/>
      <c r="GO544" s="45"/>
      <c r="GP544" s="45"/>
      <c r="GQ544" s="45"/>
      <c r="GR544" s="45"/>
      <c r="GS544" s="45"/>
      <c r="GT544" s="45"/>
      <c r="GU544" s="45"/>
      <c r="GV544" s="45"/>
      <c r="GW544" s="45"/>
      <c r="GX544" s="45"/>
      <c r="GY544" s="45"/>
      <c r="GZ544" s="45"/>
      <c r="HA544" s="45"/>
      <c r="HB544" s="45"/>
      <c r="HC544" s="45"/>
      <c r="HD544" s="45"/>
      <c r="HE544" s="45"/>
      <c r="HF544" s="45"/>
      <c r="HG544" s="45"/>
      <c r="HH544" s="45"/>
      <c r="HI544" s="45"/>
      <c r="HJ544" s="45"/>
      <c r="HK544" s="45"/>
      <c r="HL544" s="45"/>
      <c r="HM544" s="45"/>
      <c r="HN544" s="45"/>
      <c r="HO544" s="45"/>
      <c r="HP544" s="45"/>
      <c r="HQ544" s="45"/>
      <c r="HR544" s="45"/>
      <c r="HS544" s="45"/>
      <c r="HT544" s="45"/>
      <c r="HU544" s="45"/>
      <c r="HV544" s="45"/>
      <c r="HW544" s="45"/>
      <c r="HX544" s="45"/>
      <c r="HY544" s="45"/>
    </row>
    <row r="545" spans="1:233" s="46" customFormat="1" ht="15" customHeight="1">
      <c r="A545" s="73" t="s">
        <v>44</v>
      </c>
      <c r="B545" s="26" t="s">
        <v>10</v>
      </c>
      <c r="C545" s="26" t="s">
        <v>13</v>
      </c>
      <c r="D545" s="26" t="s">
        <v>610</v>
      </c>
      <c r="E545" s="26" t="s">
        <v>67</v>
      </c>
      <c r="F545" s="26" t="s">
        <v>44</v>
      </c>
      <c r="G545" s="26" t="s">
        <v>198</v>
      </c>
      <c r="H545" s="26" t="s">
        <v>22</v>
      </c>
      <c r="I545" s="26" t="s">
        <v>641</v>
      </c>
      <c r="J545" s="26" t="s">
        <v>16</v>
      </c>
      <c r="K545" s="27" t="s">
        <v>142</v>
      </c>
      <c r="L545" s="26">
        <f>L553+L561</f>
        <v>3491</v>
      </c>
      <c r="M545" s="26">
        <f>M553+M561</f>
        <v>1922</v>
      </c>
      <c r="N545" s="82">
        <f>M545*100/L545</f>
        <v>55.055857920366655</v>
      </c>
      <c r="O545" s="26">
        <f>O553+O561</f>
        <v>3027</v>
      </c>
      <c r="P545" s="26">
        <f>P553+P561</f>
        <v>497</v>
      </c>
      <c r="Q545" s="82">
        <f>P545*100/O545</f>
        <v>16.418896597291049</v>
      </c>
      <c r="R545" s="31">
        <v>28</v>
      </c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  <c r="BP545" s="45"/>
      <c r="BQ545" s="45"/>
      <c r="BR545" s="45"/>
      <c r="BS545" s="45"/>
      <c r="BT545" s="45"/>
      <c r="BU545" s="45"/>
      <c r="BV545" s="45"/>
      <c r="BW545" s="45"/>
      <c r="BX545" s="45"/>
      <c r="BY545" s="45"/>
      <c r="BZ545" s="45"/>
      <c r="CA545" s="45"/>
      <c r="CB545" s="45"/>
      <c r="CC545" s="45"/>
      <c r="CD545" s="45"/>
      <c r="CE545" s="45"/>
      <c r="CF545" s="45"/>
      <c r="CG545" s="45"/>
      <c r="CH545" s="45"/>
      <c r="CI545" s="45"/>
      <c r="CJ545" s="45"/>
      <c r="CK545" s="45"/>
      <c r="CL545" s="45"/>
      <c r="CM545" s="45"/>
      <c r="CN545" s="45"/>
      <c r="CO545" s="45"/>
      <c r="CP545" s="45"/>
      <c r="CQ545" s="45"/>
      <c r="CR545" s="45"/>
      <c r="CS545" s="45"/>
      <c r="CT545" s="45"/>
      <c r="CU545" s="45"/>
      <c r="CV545" s="45"/>
      <c r="CW545" s="45"/>
      <c r="CX545" s="45"/>
      <c r="CY545" s="45"/>
      <c r="CZ545" s="45"/>
      <c r="DA545" s="45"/>
      <c r="DB545" s="45"/>
      <c r="DC545" s="45"/>
      <c r="DD545" s="45"/>
      <c r="DE545" s="45"/>
      <c r="DF545" s="45"/>
      <c r="DG545" s="45"/>
      <c r="DH545" s="45"/>
      <c r="DI545" s="45"/>
      <c r="DJ545" s="45"/>
      <c r="DK545" s="45"/>
      <c r="DL545" s="45"/>
      <c r="DM545" s="45"/>
      <c r="DN545" s="45"/>
      <c r="DO545" s="45"/>
      <c r="DP545" s="45"/>
      <c r="DQ545" s="45"/>
      <c r="DR545" s="45"/>
      <c r="DS545" s="45"/>
      <c r="DT545" s="45"/>
      <c r="DU545" s="45"/>
      <c r="DV545" s="45"/>
      <c r="DW545" s="45"/>
      <c r="DX545" s="45"/>
      <c r="DY545" s="45"/>
      <c r="DZ545" s="45"/>
      <c r="EA545" s="45"/>
      <c r="EB545" s="45"/>
      <c r="EC545" s="45"/>
      <c r="ED545" s="45"/>
      <c r="EE545" s="45"/>
      <c r="EF545" s="45"/>
      <c r="EG545" s="45"/>
      <c r="EH545" s="45"/>
      <c r="EI545" s="45"/>
      <c r="EJ545" s="45"/>
      <c r="EK545" s="45"/>
      <c r="EL545" s="45"/>
      <c r="EM545" s="45"/>
      <c r="EN545" s="45"/>
      <c r="EO545" s="45"/>
      <c r="EP545" s="45"/>
      <c r="EQ545" s="45"/>
      <c r="ER545" s="45"/>
      <c r="ES545" s="45"/>
      <c r="ET545" s="45"/>
      <c r="EU545" s="45"/>
      <c r="EV545" s="45"/>
      <c r="EW545" s="45"/>
      <c r="EX545" s="45"/>
      <c r="EY545" s="45"/>
      <c r="EZ545" s="45"/>
      <c r="FA545" s="45"/>
      <c r="FB545" s="45"/>
      <c r="FC545" s="45"/>
      <c r="FD545" s="45"/>
      <c r="FE545" s="45"/>
      <c r="FF545" s="45"/>
      <c r="FG545" s="45"/>
      <c r="FH545" s="45"/>
      <c r="FI545" s="45"/>
      <c r="FJ545" s="45"/>
      <c r="FK545" s="45"/>
      <c r="FL545" s="45"/>
      <c r="FM545" s="45"/>
      <c r="FN545" s="45"/>
      <c r="FO545" s="45"/>
      <c r="FP545" s="45"/>
      <c r="FQ545" s="45"/>
      <c r="FR545" s="45"/>
      <c r="FS545" s="45"/>
      <c r="FT545" s="45"/>
      <c r="FU545" s="45"/>
      <c r="FV545" s="45"/>
      <c r="FW545" s="45"/>
      <c r="FX545" s="45"/>
      <c r="FY545" s="45"/>
      <c r="FZ545" s="45"/>
      <c r="GA545" s="45"/>
      <c r="GB545" s="45"/>
      <c r="GC545" s="45"/>
      <c r="GD545" s="45"/>
      <c r="GE545" s="45"/>
      <c r="GF545" s="45"/>
      <c r="GG545" s="45"/>
      <c r="GH545" s="45"/>
      <c r="GI545" s="45"/>
      <c r="GJ545" s="45"/>
      <c r="GK545" s="45"/>
      <c r="GL545" s="45"/>
      <c r="GM545" s="45"/>
      <c r="GN545" s="45"/>
      <c r="GO545" s="45"/>
      <c r="GP545" s="45"/>
      <c r="GQ545" s="45"/>
      <c r="GR545" s="45"/>
      <c r="GS545" s="45"/>
      <c r="GT545" s="45"/>
      <c r="GU545" s="45"/>
      <c r="GV545" s="45"/>
      <c r="GW545" s="45"/>
      <c r="GX545" s="45"/>
      <c r="GY545" s="45"/>
      <c r="GZ545" s="45"/>
      <c r="HA545" s="45"/>
      <c r="HB545" s="45"/>
      <c r="HC545" s="45"/>
      <c r="HD545" s="45"/>
      <c r="HE545" s="45"/>
      <c r="HF545" s="45"/>
      <c r="HG545" s="45"/>
      <c r="HH545" s="45"/>
      <c r="HI545" s="45"/>
      <c r="HJ545" s="45"/>
      <c r="HK545" s="45"/>
      <c r="HL545" s="45"/>
      <c r="HM545" s="45"/>
      <c r="HN545" s="45"/>
      <c r="HO545" s="45"/>
      <c r="HP545" s="45"/>
      <c r="HQ545" s="45"/>
      <c r="HR545" s="45"/>
      <c r="HS545" s="45"/>
      <c r="HT545" s="45"/>
      <c r="HU545" s="45"/>
      <c r="HV545" s="45"/>
      <c r="HW545" s="45"/>
      <c r="HX545" s="45"/>
      <c r="HY545" s="45"/>
    </row>
    <row r="546" spans="1:233" s="46" customFormat="1" ht="15" customHeight="1">
      <c r="A546" s="73" t="s">
        <v>44</v>
      </c>
      <c r="B546" s="26" t="s">
        <v>10</v>
      </c>
      <c r="C546" s="26" t="s">
        <v>13</v>
      </c>
      <c r="D546" s="26" t="s">
        <v>610</v>
      </c>
      <c r="E546" s="26" t="s">
        <v>67</v>
      </c>
      <c r="F546" s="26" t="s">
        <v>44</v>
      </c>
      <c r="G546" s="26" t="s">
        <v>198</v>
      </c>
      <c r="H546" s="26" t="s">
        <v>22</v>
      </c>
      <c r="I546" s="26" t="s">
        <v>641</v>
      </c>
      <c r="J546" s="26" t="s">
        <v>16</v>
      </c>
      <c r="K546" s="27" t="s">
        <v>24</v>
      </c>
      <c r="L546" s="26">
        <f t="shared" ref="L546:M546" si="114">L554+L562</f>
        <v>747</v>
      </c>
      <c r="M546" s="26">
        <f t="shared" si="114"/>
        <v>269</v>
      </c>
      <c r="N546" s="82">
        <f t="shared" ref="N546:N552" si="115">M546*100/L546</f>
        <v>36.010709504685408</v>
      </c>
      <c r="O546" s="26">
        <f t="shared" ref="O546:P546" si="116">O554+O562</f>
        <v>294</v>
      </c>
      <c r="P546" s="26">
        <f t="shared" si="116"/>
        <v>6</v>
      </c>
      <c r="Q546" s="82">
        <f t="shared" ref="Q546:Q552" si="117">P546*100/O546</f>
        <v>2.0408163265306123</v>
      </c>
      <c r="R546" s="31">
        <v>28</v>
      </c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  <c r="BP546" s="45"/>
      <c r="BQ546" s="45"/>
      <c r="BR546" s="45"/>
      <c r="BS546" s="45"/>
      <c r="BT546" s="45"/>
      <c r="BU546" s="45"/>
      <c r="BV546" s="45"/>
      <c r="BW546" s="45"/>
      <c r="BX546" s="45"/>
      <c r="BY546" s="45"/>
      <c r="BZ546" s="45"/>
      <c r="CA546" s="45"/>
      <c r="CB546" s="45"/>
      <c r="CC546" s="45"/>
      <c r="CD546" s="45"/>
      <c r="CE546" s="45"/>
      <c r="CF546" s="45"/>
      <c r="CG546" s="45"/>
      <c r="CH546" s="45"/>
      <c r="CI546" s="45"/>
      <c r="CJ546" s="45"/>
      <c r="CK546" s="45"/>
      <c r="CL546" s="45"/>
      <c r="CM546" s="45"/>
      <c r="CN546" s="45"/>
      <c r="CO546" s="45"/>
      <c r="CP546" s="45"/>
      <c r="CQ546" s="45"/>
      <c r="CR546" s="45"/>
      <c r="CS546" s="45"/>
      <c r="CT546" s="45"/>
      <c r="CU546" s="45"/>
      <c r="CV546" s="45"/>
      <c r="CW546" s="45"/>
      <c r="CX546" s="45"/>
      <c r="CY546" s="45"/>
      <c r="CZ546" s="45"/>
      <c r="DA546" s="45"/>
      <c r="DB546" s="45"/>
      <c r="DC546" s="45"/>
      <c r="DD546" s="45"/>
      <c r="DE546" s="45"/>
      <c r="DF546" s="45"/>
      <c r="DG546" s="45"/>
      <c r="DH546" s="45"/>
      <c r="DI546" s="45"/>
      <c r="DJ546" s="45"/>
      <c r="DK546" s="45"/>
      <c r="DL546" s="45"/>
      <c r="DM546" s="45"/>
      <c r="DN546" s="45"/>
      <c r="DO546" s="45"/>
      <c r="DP546" s="45"/>
      <c r="DQ546" s="45"/>
      <c r="DR546" s="45"/>
      <c r="DS546" s="45"/>
      <c r="DT546" s="45"/>
      <c r="DU546" s="45"/>
      <c r="DV546" s="45"/>
      <c r="DW546" s="45"/>
      <c r="DX546" s="45"/>
      <c r="DY546" s="45"/>
      <c r="DZ546" s="45"/>
      <c r="EA546" s="45"/>
      <c r="EB546" s="45"/>
      <c r="EC546" s="45"/>
      <c r="ED546" s="45"/>
      <c r="EE546" s="45"/>
      <c r="EF546" s="45"/>
      <c r="EG546" s="45"/>
      <c r="EH546" s="45"/>
      <c r="EI546" s="45"/>
      <c r="EJ546" s="45"/>
      <c r="EK546" s="45"/>
      <c r="EL546" s="45"/>
      <c r="EM546" s="45"/>
      <c r="EN546" s="45"/>
      <c r="EO546" s="45"/>
      <c r="EP546" s="45"/>
      <c r="EQ546" s="45"/>
      <c r="ER546" s="45"/>
      <c r="ES546" s="45"/>
      <c r="ET546" s="45"/>
      <c r="EU546" s="45"/>
      <c r="EV546" s="45"/>
      <c r="EW546" s="45"/>
      <c r="EX546" s="45"/>
      <c r="EY546" s="45"/>
      <c r="EZ546" s="45"/>
      <c r="FA546" s="45"/>
      <c r="FB546" s="45"/>
      <c r="FC546" s="45"/>
      <c r="FD546" s="45"/>
      <c r="FE546" s="45"/>
      <c r="FF546" s="45"/>
      <c r="FG546" s="45"/>
      <c r="FH546" s="45"/>
      <c r="FI546" s="45"/>
      <c r="FJ546" s="45"/>
      <c r="FK546" s="45"/>
      <c r="FL546" s="45"/>
      <c r="FM546" s="45"/>
      <c r="FN546" s="45"/>
      <c r="FO546" s="45"/>
      <c r="FP546" s="45"/>
      <c r="FQ546" s="45"/>
      <c r="FR546" s="45"/>
      <c r="FS546" s="45"/>
      <c r="FT546" s="45"/>
      <c r="FU546" s="45"/>
      <c r="FV546" s="45"/>
      <c r="FW546" s="45"/>
      <c r="FX546" s="45"/>
      <c r="FY546" s="45"/>
      <c r="FZ546" s="45"/>
      <c r="GA546" s="45"/>
      <c r="GB546" s="45"/>
      <c r="GC546" s="45"/>
      <c r="GD546" s="45"/>
      <c r="GE546" s="45"/>
      <c r="GF546" s="45"/>
      <c r="GG546" s="45"/>
      <c r="GH546" s="45"/>
      <c r="GI546" s="45"/>
      <c r="GJ546" s="45"/>
      <c r="GK546" s="45"/>
      <c r="GL546" s="45"/>
      <c r="GM546" s="45"/>
      <c r="GN546" s="45"/>
      <c r="GO546" s="45"/>
      <c r="GP546" s="45"/>
      <c r="GQ546" s="45"/>
      <c r="GR546" s="45"/>
      <c r="GS546" s="45"/>
      <c r="GT546" s="45"/>
      <c r="GU546" s="45"/>
      <c r="GV546" s="45"/>
      <c r="GW546" s="45"/>
      <c r="GX546" s="45"/>
      <c r="GY546" s="45"/>
      <c r="GZ546" s="45"/>
      <c r="HA546" s="45"/>
      <c r="HB546" s="45"/>
      <c r="HC546" s="45"/>
      <c r="HD546" s="45"/>
      <c r="HE546" s="45"/>
      <c r="HF546" s="45"/>
      <c r="HG546" s="45"/>
      <c r="HH546" s="45"/>
      <c r="HI546" s="45"/>
      <c r="HJ546" s="45"/>
      <c r="HK546" s="45"/>
      <c r="HL546" s="45"/>
      <c r="HM546" s="45"/>
      <c r="HN546" s="45"/>
      <c r="HO546" s="45"/>
      <c r="HP546" s="45"/>
      <c r="HQ546" s="45"/>
      <c r="HR546" s="45"/>
      <c r="HS546" s="45"/>
      <c r="HT546" s="45"/>
      <c r="HU546" s="45"/>
      <c r="HV546" s="45"/>
      <c r="HW546" s="45"/>
      <c r="HX546" s="45"/>
      <c r="HY546" s="45"/>
    </row>
    <row r="547" spans="1:233" s="46" customFormat="1" ht="15" customHeight="1">
      <c r="A547" s="73" t="s">
        <v>44</v>
      </c>
      <c r="B547" s="26" t="s">
        <v>10</v>
      </c>
      <c r="C547" s="26" t="s">
        <v>13</v>
      </c>
      <c r="D547" s="26" t="s">
        <v>610</v>
      </c>
      <c r="E547" s="26" t="s">
        <v>67</v>
      </c>
      <c r="F547" s="26" t="s">
        <v>44</v>
      </c>
      <c r="G547" s="26" t="s">
        <v>198</v>
      </c>
      <c r="H547" s="26" t="s">
        <v>22</v>
      </c>
      <c r="I547" s="26" t="s">
        <v>641</v>
      </c>
      <c r="J547" s="26" t="s">
        <v>16</v>
      </c>
      <c r="K547" s="27" t="s">
        <v>25</v>
      </c>
      <c r="L547" s="26">
        <f t="shared" ref="L547:M547" si="118">L555+L563</f>
        <v>464</v>
      </c>
      <c r="M547" s="26">
        <f t="shared" si="118"/>
        <v>201</v>
      </c>
      <c r="N547" s="82">
        <f t="shared" si="115"/>
        <v>43.318965517241381</v>
      </c>
      <c r="O547" s="26">
        <f t="shared" ref="O547:P547" si="119">O555+O563</f>
        <v>461</v>
      </c>
      <c r="P547" s="26">
        <f t="shared" si="119"/>
        <v>25</v>
      </c>
      <c r="Q547" s="82">
        <f t="shared" si="117"/>
        <v>5.4229934924078087</v>
      </c>
      <c r="R547" s="31">
        <v>28</v>
      </c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  <c r="BP547" s="45"/>
      <c r="BQ547" s="45"/>
      <c r="BR547" s="45"/>
      <c r="BS547" s="45"/>
      <c r="BT547" s="45"/>
      <c r="BU547" s="45"/>
      <c r="BV547" s="45"/>
      <c r="BW547" s="45"/>
      <c r="BX547" s="45"/>
      <c r="BY547" s="45"/>
      <c r="BZ547" s="45"/>
      <c r="CA547" s="45"/>
      <c r="CB547" s="45"/>
      <c r="CC547" s="45"/>
      <c r="CD547" s="45"/>
      <c r="CE547" s="45"/>
      <c r="CF547" s="45"/>
      <c r="CG547" s="45"/>
      <c r="CH547" s="45"/>
      <c r="CI547" s="45"/>
      <c r="CJ547" s="45"/>
      <c r="CK547" s="45"/>
      <c r="CL547" s="45"/>
      <c r="CM547" s="45"/>
      <c r="CN547" s="45"/>
      <c r="CO547" s="45"/>
      <c r="CP547" s="45"/>
      <c r="CQ547" s="45"/>
      <c r="CR547" s="45"/>
      <c r="CS547" s="45"/>
      <c r="CT547" s="45"/>
      <c r="CU547" s="45"/>
      <c r="CV547" s="45"/>
      <c r="CW547" s="45"/>
      <c r="CX547" s="45"/>
      <c r="CY547" s="45"/>
      <c r="CZ547" s="45"/>
      <c r="DA547" s="45"/>
      <c r="DB547" s="45"/>
      <c r="DC547" s="45"/>
      <c r="DD547" s="45"/>
      <c r="DE547" s="45"/>
      <c r="DF547" s="45"/>
      <c r="DG547" s="45"/>
      <c r="DH547" s="45"/>
      <c r="DI547" s="45"/>
      <c r="DJ547" s="45"/>
      <c r="DK547" s="45"/>
      <c r="DL547" s="45"/>
      <c r="DM547" s="45"/>
      <c r="DN547" s="45"/>
      <c r="DO547" s="45"/>
      <c r="DP547" s="45"/>
      <c r="DQ547" s="45"/>
      <c r="DR547" s="45"/>
      <c r="DS547" s="45"/>
      <c r="DT547" s="45"/>
      <c r="DU547" s="45"/>
      <c r="DV547" s="45"/>
      <c r="DW547" s="45"/>
      <c r="DX547" s="45"/>
      <c r="DY547" s="45"/>
      <c r="DZ547" s="45"/>
      <c r="EA547" s="45"/>
      <c r="EB547" s="45"/>
      <c r="EC547" s="45"/>
      <c r="ED547" s="45"/>
      <c r="EE547" s="45"/>
      <c r="EF547" s="45"/>
      <c r="EG547" s="45"/>
      <c r="EH547" s="45"/>
      <c r="EI547" s="45"/>
      <c r="EJ547" s="45"/>
      <c r="EK547" s="45"/>
      <c r="EL547" s="45"/>
      <c r="EM547" s="45"/>
      <c r="EN547" s="45"/>
      <c r="EO547" s="45"/>
      <c r="EP547" s="45"/>
      <c r="EQ547" s="45"/>
      <c r="ER547" s="45"/>
      <c r="ES547" s="45"/>
      <c r="ET547" s="45"/>
      <c r="EU547" s="45"/>
      <c r="EV547" s="45"/>
      <c r="EW547" s="45"/>
      <c r="EX547" s="45"/>
      <c r="EY547" s="45"/>
      <c r="EZ547" s="45"/>
      <c r="FA547" s="45"/>
      <c r="FB547" s="45"/>
      <c r="FC547" s="45"/>
      <c r="FD547" s="45"/>
      <c r="FE547" s="45"/>
      <c r="FF547" s="45"/>
      <c r="FG547" s="45"/>
      <c r="FH547" s="45"/>
      <c r="FI547" s="45"/>
      <c r="FJ547" s="45"/>
      <c r="FK547" s="45"/>
      <c r="FL547" s="45"/>
      <c r="FM547" s="45"/>
      <c r="FN547" s="45"/>
      <c r="FO547" s="45"/>
      <c r="FP547" s="45"/>
      <c r="FQ547" s="45"/>
      <c r="FR547" s="45"/>
      <c r="FS547" s="45"/>
      <c r="FT547" s="45"/>
      <c r="FU547" s="45"/>
      <c r="FV547" s="45"/>
      <c r="FW547" s="45"/>
      <c r="FX547" s="45"/>
      <c r="FY547" s="45"/>
      <c r="FZ547" s="45"/>
      <c r="GA547" s="45"/>
      <c r="GB547" s="45"/>
      <c r="GC547" s="45"/>
      <c r="GD547" s="45"/>
      <c r="GE547" s="45"/>
      <c r="GF547" s="45"/>
      <c r="GG547" s="45"/>
      <c r="GH547" s="45"/>
      <c r="GI547" s="45"/>
      <c r="GJ547" s="45"/>
      <c r="GK547" s="45"/>
      <c r="GL547" s="45"/>
      <c r="GM547" s="45"/>
      <c r="GN547" s="45"/>
      <c r="GO547" s="45"/>
      <c r="GP547" s="45"/>
      <c r="GQ547" s="45"/>
      <c r="GR547" s="45"/>
      <c r="GS547" s="45"/>
      <c r="GT547" s="45"/>
      <c r="GU547" s="45"/>
      <c r="GV547" s="45"/>
      <c r="GW547" s="45"/>
      <c r="GX547" s="45"/>
      <c r="GY547" s="45"/>
      <c r="GZ547" s="45"/>
      <c r="HA547" s="45"/>
      <c r="HB547" s="45"/>
      <c r="HC547" s="45"/>
      <c r="HD547" s="45"/>
      <c r="HE547" s="45"/>
      <c r="HF547" s="45"/>
      <c r="HG547" s="45"/>
      <c r="HH547" s="45"/>
      <c r="HI547" s="45"/>
      <c r="HJ547" s="45"/>
      <c r="HK547" s="45"/>
      <c r="HL547" s="45"/>
      <c r="HM547" s="45"/>
      <c r="HN547" s="45"/>
      <c r="HO547" s="45"/>
      <c r="HP547" s="45"/>
      <c r="HQ547" s="45"/>
      <c r="HR547" s="45"/>
      <c r="HS547" s="45"/>
      <c r="HT547" s="45"/>
      <c r="HU547" s="45"/>
      <c r="HV547" s="45"/>
      <c r="HW547" s="45"/>
      <c r="HX547" s="45"/>
      <c r="HY547" s="45"/>
    </row>
    <row r="548" spans="1:233" s="46" customFormat="1" ht="15" customHeight="1">
      <c r="A548" s="73" t="s">
        <v>44</v>
      </c>
      <c r="B548" s="26" t="s">
        <v>10</v>
      </c>
      <c r="C548" s="26" t="s">
        <v>13</v>
      </c>
      <c r="D548" s="26" t="s">
        <v>610</v>
      </c>
      <c r="E548" s="26" t="s">
        <v>67</v>
      </c>
      <c r="F548" s="26" t="s">
        <v>44</v>
      </c>
      <c r="G548" s="26" t="s">
        <v>198</v>
      </c>
      <c r="H548" s="26" t="s">
        <v>22</v>
      </c>
      <c r="I548" s="26" t="s">
        <v>641</v>
      </c>
      <c r="J548" s="26" t="s">
        <v>16</v>
      </c>
      <c r="K548" s="27" t="s">
        <v>26</v>
      </c>
      <c r="L548" s="26">
        <f t="shared" ref="L548:M548" si="120">L556+L564</f>
        <v>411</v>
      </c>
      <c r="M548" s="26">
        <f t="shared" si="120"/>
        <v>207</v>
      </c>
      <c r="N548" s="82">
        <f t="shared" si="115"/>
        <v>50.364963503649633</v>
      </c>
      <c r="O548" s="26">
        <f t="shared" ref="O548:P548" si="121">O556+O564</f>
        <v>408</v>
      </c>
      <c r="P548" s="26">
        <f t="shared" si="121"/>
        <v>53</v>
      </c>
      <c r="Q548" s="82">
        <f t="shared" si="117"/>
        <v>12.990196078431373</v>
      </c>
      <c r="R548" s="31">
        <v>28</v>
      </c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  <c r="BP548" s="45"/>
      <c r="BQ548" s="45"/>
      <c r="BR548" s="45"/>
      <c r="BS548" s="45"/>
      <c r="BT548" s="45"/>
      <c r="BU548" s="45"/>
      <c r="BV548" s="45"/>
      <c r="BW548" s="45"/>
      <c r="BX548" s="45"/>
      <c r="BY548" s="45"/>
      <c r="BZ548" s="45"/>
      <c r="CA548" s="45"/>
      <c r="CB548" s="45"/>
      <c r="CC548" s="45"/>
      <c r="CD548" s="45"/>
      <c r="CE548" s="45"/>
      <c r="CF548" s="45"/>
      <c r="CG548" s="45"/>
      <c r="CH548" s="45"/>
      <c r="CI548" s="45"/>
      <c r="CJ548" s="45"/>
      <c r="CK548" s="45"/>
      <c r="CL548" s="45"/>
      <c r="CM548" s="45"/>
      <c r="CN548" s="45"/>
      <c r="CO548" s="45"/>
      <c r="CP548" s="45"/>
      <c r="CQ548" s="45"/>
      <c r="CR548" s="45"/>
      <c r="CS548" s="45"/>
      <c r="CT548" s="45"/>
      <c r="CU548" s="45"/>
      <c r="CV548" s="45"/>
      <c r="CW548" s="45"/>
      <c r="CX548" s="45"/>
      <c r="CY548" s="45"/>
      <c r="CZ548" s="45"/>
      <c r="DA548" s="45"/>
      <c r="DB548" s="45"/>
      <c r="DC548" s="45"/>
      <c r="DD548" s="45"/>
      <c r="DE548" s="45"/>
      <c r="DF548" s="45"/>
      <c r="DG548" s="45"/>
      <c r="DH548" s="45"/>
      <c r="DI548" s="45"/>
      <c r="DJ548" s="45"/>
      <c r="DK548" s="45"/>
      <c r="DL548" s="45"/>
      <c r="DM548" s="45"/>
      <c r="DN548" s="45"/>
      <c r="DO548" s="45"/>
      <c r="DP548" s="45"/>
      <c r="DQ548" s="45"/>
      <c r="DR548" s="45"/>
      <c r="DS548" s="45"/>
      <c r="DT548" s="45"/>
      <c r="DU548" s="45"/>
      <c r="DV548" s="45"/>
      <c r="DW548" s="45"/>
      <c r="DX548" s="45"/>
      <c r="DY548" s="45"/>
      <c r="DZ548" s="45"/>
      <c r="EA548" s="45"/>
      <c r="EB548" s="45"/>
      <c r="EC548" s="45"/>
      <c r="ED548" s="45"/>
      <c r="EE548" s="45"/>
      <c r="EF548" s="45"/>
      <c r="EG548" s="45"/>
      <c r="EH548" s="45"/>
      <c r="EI548" s="45"/>
      <c r="EJ548" s="45"/>
      <c r="EK548" s="45"/>
      <c r="EL548" s="45"/>
      <c r="EM548" s="45"/>
      <c r="EN548" s="45"/>
      <c r="EO548" s="45"/>
      <c r="EP548" s="45"/>
      <c r="EQ548" s="45"/>
      <c r="ER548" s="45"/>
      <c r="ES548" s="45"/>
      <c r="ET548" s="45"/>
      <c r="EU548" s="45"/>
      <c r="EV548" s="45"/>
      <c r="EW548" s="45"/>
      <c r="EX548" s="45"/>
      <c r="EY548" s="45"/>
      <c r="EZ548" s="45"/>
      <c r="FA548" s="45"/>
      <c r="FB548" s="45"/>
      <c r="FC548" s="45"/>
      <c r="FD548" s="45"/>
      <c r="FE548" s="45"/>
      <c r="FF548" s="45"/>
      <c r="FG548" s="45"/>
      <c r="FH548" s="45"/>
      <c r="FI548" s="45"/>
      <c r="FJ548" s="45"/>
      <c r="FK548" s="45"/>
      <c r="FL548" s="45"/>
      <c r="FM548" s="45"/>
      <c r="FN548" s="45"/>
      <c r="FO548" s="45"/>
      <c r="FP548" s="45"/>
      <c r="FQ548" s="45"/>
      <c r="FR548" s="45"/>
      <c r="FS548" s="45"/>
      <c r="FT548" s="45"/>
      <c r="FU548" s="45"/>
      <c r="FV548" s="45"/>
      <c r="FW548" s="45"/>
      <c r="FX548" s="45"/>
      <c r="FY548" s="45"/>
      <c r="FZ548" s="45"/>
      <c r="GA548" s="45"/>
      <c r="GB548" s="45"/>
      <c r="GC548" s="45"/>
      <c r="GD548" s="45"/>
      <c r="GE548" s="45"/>
      <c r="GF548" s="45"/>
      <c r="GG548" s="45"/>
      <c r="GH548" s="45"/>
      <c r="GI548" s="45"/>
      <c r="GJ548" s="45"/>
      <c r="GK548" s="45"/>
      <c r="GL548" s="45"/>
      <c r="GM548" s="45"/>
      <c r="GN548" s="45"/>
      <c r="GO548" s="45"/>
      <c r="GP548" s="45"/>
      <c r="GQ548" s="45"/>
      <c r="GR548" s="45"/>
      <c r="GS548" s="45"/>
      <c r="GT548" s="45"/>
      <c r="GU548" s="45"/>
      <c r="GV548" s="45"/>
      <c r="GW548" s="45"/>
      <c r="GX548" s="45"/>
      <c r="GY548" s="45"/>
      <c r="GZ548" s="45"/>
      <c r="HA548" s="45"/>
      <c r="HB548" s="45"/>
      <c r="HC548" s="45"/>
      <c r="HD548" s="45"/>
      <c r="HE548" s="45"/>
      <c r="HF548" s="45"/>
      <c r="HG548" s="45"/>
      <c r="HH548" s="45"/>
      <c r="HI548" s="45"/>
      <c r="HJ548" s="45"/>
      <c r="HK548" s="45"/>
      <c r="HL548" s="45"/>
      <c r="HM548" s="45"/>
      <c r="HN548" s="45"/>
      <c r="HO548" s="45"/>
      <c r="HP548" s="45"/>
      <c r="HQ548" s="45"/>
      <c r="HR548" s="45"/>
      <c r="HS548" s="45"/>
      <c r="HT548" s="45"/>
      <c r="HU548" s="45"/>
      <c r="HV548" s="45"/>
      <c r="HW548" s="45"/>
      <c r="HX548" s="45"/>
      <c r="HY548" s="45"/>
    </row>
    <row r="549" spans="1:233" s="46" customFormat="1" ht="15" customHeight="1">
      <c r="A549" s="73" t="s">
        <v>44</v>
      </c>
      <c r="B549" s="26" t="s">
        <v>10</v>
      </c>
      <c r="C549" s="26" t="s">
        <v>13</v>
      </c>
      <c r="D549" s="26" t="s">
        <v>610</v>
      </c>
      <c r="E549" s="26" t="s">
        <v>67</v>
      </c>
      <c r="F549" s="26" t="s">
        <v>44</v>
      </c>
      <c r="G549" s="26" t="s">
        <v>198</v>
      </c>
      <c r="H549" s="26" t="s">
        <v>22</v>
      </c>
      <c r="I549" s="26" t="s">
        <v>641</v>
      </c>
      <c r="J549" s="26" t="s">
        <v>16</v>
      </c>
      <c r="K549" s="27" t="s">
        <v>27</v>
      </c>
      <c r="L549" s="26">
        <f t="shared" ref="L549:M549" si="122">L557+L565</f>
        <v>478</v>
      </c>
      <c r="M549" s="26">
        <f t="shared" si="122"/>
        <v>280</v>
      </c>
      <c r="N549" s="82">
        <f t="shared" si="115"/>
        <v>58.577405857740587</v>
      </c>
      <c r="O549" s="26">
        <f t="shared" ref="O549:P549" si="123">O557+O565</f>
        <v>478</v>
      </c>
      <c r="P549" s="26">
        <f t="shared" si="123"/>
        <v>80</v>
      </c>
      <c r="Q549" s="82">
        <f t="shared" si="117"/>
        <v>16.736401673640167</v>
      </c>
      <c r="R549" s="31">
        <v>28</v>
      </c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  <c r="BP549" s="45"/>
      <c r="BQ549" s="45"/>
      <c r="BR549" s="45"/>
      <c r="BS549" s="45"/>
      <c r="BT549" s="45"/>
      <c r="BU549" s="45"/>
      <c r="BV549" s="45"/>
      <c r="BW549" s="45"/>
      <c r="BX549" s="45"/>
      <c r="BY549" s="45"/>
      <c r="BZ549" s="45"/>
      <c r="CA549" s="45"/>
      <c r="CB549" s="45"/>
      <c r="CC549" s="45"/>
      <c r="CD549" s="45"/>
      <c r="CE549" s="45"/>
      <c r="CF549" s="45"/>
      <c r="CG549" s="45"/>
      <c r="CH549" s="45"/>
      <c r="CI549" s="45"/>
      <c r="CJ549" s="45"/>
      <c r="CK549" s="45"/>
      <c r="CL549" s="45"/>
      <c r="CM549" s="45"/>
      <c r="CN549" s="45"/>
      <c r="CO549" s="45"/>
      <c r="CP549" s="45"/>
      <c r="CQ549" s="45"/>
      <c r="CR549" s="45"/>
      <c r="CS549" s="45"/>
      <c r="CT549" s="45"/>
      <c r="CU549" s="45"/>
      <c r="CV549" s="45"/>
      <c r="CW549" s="45"/>
      <c r="CX549" s="45"/>
      <c r="CY549" s="45"/>
      <c r="CZ549" s="45"/>
      <c r="DA549" s="45"/>
      <c r="DB549" s="45"/>
      <c r="DC549" s="45"/>
      <c r="DD549" s="45"/>
      <c r="DE549" s="45"/>
      <c r="DF549" s="45"/>
      <c r="DG549" s="45"/>
      <c r="DH549" s="45"/>
      <c r="DI549" s="45"/>
      <c r="DJ549" s="45"/>
      <c r="DK549" s="45"/>
      <c r="DL549" s="45"/>
      <c r="DM549" s="45"/>
      <c r="DN549" s="45"/>
      <c r="DO549" s="45"/>
      <c r="DP549" s="45"/>
      <c r="DQ549" s="45"/>
      <c r="DR549" s="45"/>
      <c r="DS549" s="45"/>
      <c r="DT549" s="45"/>
      <c r="DU549" s="45"/>
      <c r="DV549" s="45"/>
      <c r="DW549" s="45"/>
      <c r="DX549" s="45"/>
      <c r="DY549" s="45"/>
      <c r="DZ549" s="45"/>
      <c r="EA549" s="45"/>
      <c r="EB549" s="45"/>
      <c r="EC549" s="45"/>
      <c r="ED549" s="45"/>
      <c r="EE549" s="45"/>
      <c r="EF549" s="45"/>
      <c r="EG549" s="45"/>
      <c r="EH549" s="45"/>
      <c r="EI549" s="45"/>
      <c r="EJ549" s="45"/>
      <c r="EK549" s="45"/>
      <c r="EL549" s="45"/>
      <c r="EM549" s="45"/>
      <c r="EN549" s="45"/>
      <c r="EO549" s="45"/>
      <c r="EP549" s="45"/>
      <c r="EQ549" s="45"/>
      <c r="ER549" s="45"/>
      <c r="ES549" s="45"/>
      <c r="ET549" s="45"/>
      <c r="EU549" s="45"/>
      <c r="EV549" s="45"/>
      <c r="EW549" s="45"/>
      <c r="EX549" s="45"/>
      <c r="EY549" s="45"/>
      <c r="EZ549" s="45"/>
      <c r="FA549" s="45"/>
      <c r="FB549" s="45"/>
      <c r="FC549" s="45"/>
      <c r="FD549" s="45"/>
      <c r="FE549" s="45"/>
      <c r="FF549" s="45"/>
      <c r="FG549" s="45"/>
      <c r="FH549" s="45"/>
      <c r="FI549" s="45"/>
      <c r="FJ549" s="45"/>
      <c r="FK549" s="45"/>
      <c r="FL549" s="45"/>
      <c r="FM549" s="45"/>
      <c r="FN549" s="45"/>
      <c r="FO549" s="45"/>
      <c r="FP549" s="45"/>
      <c r="FQ549" s="45"/>
      <c r="FR549" s="45"/>
      <c r="FS549" s="45"/>
      <c r="FT549" s="45"/>
      <c r="FU549" s="45"/>
      <c r="FV549" s="45"/>
      <c r="FW549" s="45"/>
      <c r="FX549" s="45"/>
      <c r="FY549" s="45"/>
      <c r="FZ549" s="45"/>
      <c r="GA549" s="45"/>
      <c r="GB549" s="45"/>
      <c r="GC549" s="45"/>
      <c r="GD549" s="45"/>
      <c r="GE549" s="45"/>
      <c r="GF549" s="45"/>
      <c r="GG549" s="45"/>
      <c r="GH549" s="45"/>
      <c r="GI549" s="45"/>
      <c r="GJ549" s="45"/>
      <c r="GK549" s="45"/>
      <c r="GL549" s="45"/>
      <c r="GM549" s="45"/>
      <c r="GN549" s="45"/>
      <c r="GO549" s="45"/>
      <c r="GP549" s="45"/>
      <c r="GQ549" s="45"/>
      <c r="GR549" s="45"/>
      <c r="GS549" s="45"/>
      <c r="GT549" s="45"/>
      <c r="GU549" s="45"/>
      <c r="GV549" s="45"/>
      <c r="GW549" s="45"/>
      <c r="GX549" s="45"/>
      <c r="GY549" s="45"/>
      <c r="GZ549" s="45"/>
      <c r="HA549" s="45"/>
      <c r="HB549" s="45"/>
      <c r="HC549" s="45"/>
      <c r="HD549" s="45"/>
      <c r="HE549" s="45"/>
      <c r="HF549" s="45"/>
      <c r="HG549" s="45"/>
      <c r="HH549" s="45"/>
      <c r="HI549" s="45"/>
      <c r="HJ549" s="45"/>
      <c r="HK549" s="45"/>
      <c r="HL549" s="45"/>
      <c r="HM549" s="45"/>
      <c r="HN549" s="45"/>
      <c r="HO549" s="45"/>
      <c r="HP549" s="45"/>
      <c r="HQ549" s="45"/>
      <c r="HR549" s="45"/>
      <c r="HS549" s="45"/>
      <c r="HT549" s="45"/>
      <c r="HU549" s="45"/>
      <c r="HV549" s="45"/>
      <c r="HW549" s="45"/>
      <c r="HX549" s="45"/>
      <c r="HY549" s="45"/>
    </row>
    <row r="550" spans="1:233" s="46" customFormat="1" ht="15" customHeight="1">
      <c r="A550" s="73" t="s">
        <v>44</v>
      </c>
      <c r="B550" s="26" t="s">
        <v>10</v>
      </c>
      <c r="C550" s="26" t="s">
        <v>13</v>
      </c>
      <c r="D550" s="26" t="s">
        <v>610</v>
      </c>
      <c r="E550" s="26" t="s">
        <v>67</v>
      </c>
      <c r="F550" s="26" t="s">
        <v>44</v>
      </c>
      <c r="G550" s="26" t="s">
        <v>198</v>
      </c>
      <c r="H550" s="26" t="s">
        <v>22</v>
      </c>
      <c r="I550" s="26" t="s">
        <v>641</v>
      </c>
      <c r="J550" s="26" t="s">
        <v>16</v>
      </c>
      <c r="K550" s="27" t="s">
        <v>28</v>
      </c>
      <c r="L550" s="26">
        <f t="shared" ref="L550:M550" si="124">L558+L566</f>
        <v>437</v>
      </c>
      <c r="M550" s="26">
        <f t="shared" si="124"/>
        <v>298</v>
      </c>
      <c r="N550" s="82">
        <f t="shared" si="115"/>
        <v>68.192219679633865</v>
      </c>
      <c r="O550" s="26">
        <f t="shared" ref="O550:P550" si="125">O558+O566</f>
        <v>436</v>
      </c>
      <c r="P550" s="26">
        <f t="shared" si="125"/>
        <v>94</v>
      </c>
      <c r="Q550" s="82">
        <f t="shared" si="117"/>
        <v>21.559633027522935</v>
      </c>
      <c r="R550" s="31">
        <v>28</v>
      </c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  <c r="BP550" s="45"/>
      <c r="BQ550" s="45"/>
      <c r="BR550" s="45"/>
      <c r="BS550" s="45"/>
      <c r="BT550" s="45"/>
      <c r="BU550" s="45"/>
      <c r="BV550" s="45"/>
      <c r="BW550" s="45"/>
      <c r="BX550" s="45"/>
      <c r="BY550" s="45"/>
      <c r="BZ550" s="45"/>
      <c r="CA550" s="45"/>
      <c r="CB550" s="45"/>
      <c r="CC550" s="45"/>
      <c r="CD550" s="45"/>
      <c r="CE550" s="45"/>
      <c r="CF550" s="45"/>
      <c r="CG550" s="45"/>
      <c r="CH550" s="45"/>
      <c r="CI550" s="45"/>
      <c r="CJ550" s="45"/>
      <c r="CK550" s="45"/>
      <c r="CL550" s="45"/>
      <c r="CM550" s="45"/>
      <c r="CN550" s="45"/>
      <c r="CO550" s="45"/>
      <c r="CP550" s="45"/>
      <c r="CQ550" s="45"/>
      <c r="CR550" s="45"/>
      <c r="CS550" s="45"/>
      <c r="CT550" s="45"/>
      <c r="CU550" s="45"/>
      <c r="CV550" s="45"/>
      <c r="CW550" s="45"/>
      <c r="CX550" s="45"/>
      <c r="CY550" s="45"/>
      <c r="CZ550" s="45"/>
      <c r="DA550" s="45"/>
      <c r="DB550" s="45"/>
      <c r="DC550" s="45"/>
      <c r="DD550" s="45"/>
      <c r="DE550" s="45"/>
      <c r="DF550" s="45"/>
      <c r="DG550" s="45"/>
      <c r="DH550" s="45"/>
      <c r="DI550" s="45"/>
      <c r="DJ550" s="45"/>
      <c r="DK550" s="45"/>
      <c r="DL550" s="45"/>
      <c r="DM550" s="45"/>
      <c r="DN550" s="45"/>
      <c r="DO550" s="45"/>
      <c r="DP550" s="45"/>
      <c r="DQ550" s="45"/>
      <c r="DR550" s="45"/>
      <c r="DS550" s="45"/>
      <c r="DT550" s="45"/>
      <c r="DU550" s="45"/>
      <c r="DV550" s="45"/>
      <c r="DW550" s="45"/>
      <c r="DX550" s="45"/>
      <c r="DY550" s="45"/>
      <c r="DZ550" s="45"/>
      <c r="EA550" s="45"/>
      <c r="EB550" s="45"/>
      <c r="EC550" s="45"/>
      <c r="ED550" s="45"/>
      <c r="EE550" s="45"/>
      <c r="EF550" s="45"/>
      <c r="EG550" s="45"/>
      <c r="EH550" s="45"/>
      <c r="EI550" s="45"/>
      <c r="EJ550" s="45"/>
      <c r="EK550" s="45"/>
      <c r="EL550" s="45"/>
      <c r="EM550" s="45"/>
      <c r="EN550" s="45"/>
      <c r="EO550" s="45"/>
      <c r="EP550" s="45"/>
      <c r="EQ550" s="45"/>
      <c r="ER550" s="45"/>
      <c r="ES550" s="45"/>
      <c r="ET550" s="45"/>
      <c r="EU550" s="45"/>
      <c r="EV550" s="45"/>
      <c r="EW550" s="45"/>
      <c r="EX550" s="45"/>
      <c r="EY550" s="45"/>
      <c r="EZ550" s="45"/>
      <c r="FA550" s="45"/>
      <c r="FB550" s="45"/>
      <c r="FC550" s="45"/>
      <c r="FD550" s="45"/>
      <c r="FE550" s="45"/>
      <c r="FF550" s="45"/>
      <c r="FG550" s="45"/>
      <c r="FH550" s="45"/>
      <c r="FI550" s="45"/>
      <c r="FJ550" s="45"/>
      <c r="FK550" s="45"/>
      <c r="FL550" s="45"/>
      <c r="FM550" s="45"/>
      <c r="FN550" s="45"/>
      <c r="FO550" s="45"/>
      <c r="FP550" s="45"/>
      <c r="FQ550" s="45"/>
      <c r="FR550" s="45"/>
      <c r="FS550" s="45"/>
      <c r="FT550" s="45"/>
      <c r="FU550" s="45"/>
      <c r="FV550" s="45"/>
      <c r="FW550" s="45"/>
      <c r="FX550" s="45"/>
      <c r="FY550" s="45"/>
      <c r="FZ550" s="45"/>
      <c r="GA550" s="45"/>
      <c r="GB550" s="45"/>
      <c r="GC550" s="45"/>
      <c r="GD550" s="45"/>
      <c r="GE550" s="45"/>
      <c r="GF550" s="45"/>
      <c r="GG550" s="45"/>
      <c r="GH550" s="45"/>
      <c r="GI550" s="45"/>
      <c r="GJ550" s="45"/>
      <c r="GK550" s="45"/>
      <c r="GL550" s="45"/>
      <c r="GM550" s="45"/>
      <c r="GN550" s="45"/>
      <c r="GO550" s="45"/>
      <c r="GP550" s="45"/>
      <c r="GQ550" s="45"/>
      <c r="GR550" s="45"/>
      <c r="GS550" s="45"/>
      <c r="GT550" s="45"/>
      <c r="GU550" s="45"/>
      <c r="GV550" s="45"/>
      <c r="GW550" s="45"/>
      <c r="GX550" s="45"/>
      <c r="GY550" s="45"/>
      <c r="GZ550" s="45"/>
      <c r="HA550" s="45"/>
      <c r="HB550" s="45"/>
      <c r="HC550" s="45"/>
      <c r="HD550" s="45"/>
      <c r="HE550" s="45"/>
      <c r="HF550" s="45"/>
      <c r="HG550" s="45"/>
      <c r="HH550" s="45"/>
      <c r="HI550" s="45"/>
      <c r="HJ550" s="45"/>
      <c r="HK550" s="45"/>
      <c r="HL550" s="45"/>
      <c r="HM550" s="45"/>
      <c r="HN550" s="45"/>
      <c r="HO550" s="45"/>
      <c r="HP550" s="45"/>
      <c r="HQ550" s="45"/>
      <c r="HR550" s="45"/>
      <c r="HS550" s="45"/>
      <c r="HT550" s="45"/>
      <c r="HU550" s="45"/>
      <c r="HV550" s="45"/>
      <c r="HW550" s="45"/>
      <c r="HX550" s="45"/>
      <c r="HY550" s="45"/>
    </row>
    <row r="551" spans="1:233" s="46" customFormat="1" ht="15" customHeight="1">
      <c r="A551" s="73" t="s">
        <v>44</v>
      </c>
      <c r="B551" s="26" t="s">
        <v>10</v>
      </c>
      <c r="C551" s="26" t="s">
        <v>13</v>
      </c>
      <c r="D551" s="26" t="s">
        <v>610</v>
      </c>
      <c r="E551" s="26" t="s">
        <v>67</v>
      </c>
      <c r="F551" s="26" t="s">
        <v>44</v>
      </c>
      <c r="G551" s="26" t="s">
        <v>198</v>
      </c>
      <c r="H551" s="26" t="s">
        <v>22</v>
      </c>
      <c r="I551" s="26" t="s">
        <v>641</v>
      </c>
      <c r="J551" s="26" t="s">
        <v>16</v>
      </c>
      <c r="K551" s="27" t="s">
        <v>72</v>
      </c>
      <c r="L551" s="26">
        <f t="shared" ref="L551:M551" si="126">L559+L567</f>
        <v>508</v>
      </c>
      <c r="M551" s="26">
        <f t="shared" si="126"/>
        <v>357</v>
      </c>
      <c r="N551" s="82">
        <f t="shared" si="115"/>
        <v>70.275590551181097</v>
      </c>
      <c r="O551" s="26">
        <f t="shared" ref="O551:P551" si="127">O559+O567</f>
        <v>508</v>
      </c>
      <c r="P551" s="26">
        <f t="shared" si="127"/>
        <v>119</v>
      </c>
      <c r="Q551" s="82">
        <f t="shared" si="117"/>
        <v>23.4251968503937</v>
      </c>
      <c r="R551" s="31">
        <v>28</v>
      </c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  <c r="BP551" s="45"/>
      <c r="BQ551" s="45"/>
      <c r="BR551" s="45"/>
      <c r="BS551" s="45"/>
      <c r="BT551" s="45"/>
      <c r="BU551" s="45"/>
      <c r="BV551" s="45"/>
      <c r="BW551" s="45"/>
      <c r="BX551" s="45"/>
      <c r="BY551" s="45"/>
      <c r="BZ551" s="45"/>
      <c r="CA551" s="45"/>
      <c r="CB551" s="45"/>
      <c r="CC551" s="45"/>
      <c r="CD551" s="45"/>
      <c r="CE551" s="45"/>
      <c r="CF551" s="45"/>
      <c r="CG551" s="45"/>
      <c r="CH551" s="45"/>
      <c r="CI551" s="45"/>
      <c r="CJ551" s="45"/>
      <c r="CK551" s="45"/>
      <c r="CL551" s="45"/>
      <c r="CM551" s="45"/>
      <c r="CN551" s="45"/>
      <c r="CO551" s="45"/>
      <c r="CP551" s="45"/>
      <c r="CQ551" s="45"/>
      <c r="CR551" s="45"/>
      <c r="CS551" s="45"/>
      <c r="CT551" s="45"/>
      <c r="CU551" s="45"/>
      <c r="CV551" s="45"/>
      <c r="CW551" s="45"/>
      <c r="CX551" s="45"/>
      <c r="CY551" s="45"/>
      <c r="CZ551" s="45"/>
      <c r="DA551" s="45"/>
      <c r="DB551" s="45"/>
      <c r="DC551" s="45"/>
      <c r="DD551" s="45"/>
      <c r="DE551" s="45"/>
      <c r="DF551" s="45"/>
      <c r="DG551" s="45"/>
      <c r="DH551" s="45"/>
      <c r="DI551" s="45"/>
      <c r="DJ551" s="45"/>
      <c r="DK551" s="45"/>
      <c r="DL551" s="45"/>
      <c r="DM551" s="45"/>
      <c r="DN551" s="45"/>
      <c r="DO551" s="45"/>
      <c r="DP551" s="45"/>
      <c r="DQ551" s="45"/>
      <c r="DR551" s="45"/>
      <c r="DS551" s="45"/>
      <c r="DT551" s="45"/>
      <c r="DU551" s="45"/>
      <c r="DV551" s="45"/>
      <c r="DW551" s="45"/>
      <c r="DX551" s="45"/>
      <c r="DY551" s="45"/>
      <c r="DZ551" s="45"/>
      <c r="EA551" s="45"/>
      <c r="EB551" s="45"/>
      <c r="EC551" s="45"/>
      <c r="ED551" s="45"/>
      <c r="EE551" s="45"/>
      <c r="EF551" s="45"/>
      <c r="EG551" s="45"/>
      <c r="EH551" s="45"/>
      <c r="EI551" s="45"/>
      <c r="EJ551" s="45"/>
      <c r="EK551" s="45"/>
      <c r="EL551" s="45"/>
      <c r="EM551" s="45"/>
      <c r="EN551" s="45"/>
      <c r="EO551" s="45"/>
      <c r="EP551" s="45"/>
      <c r="EQ551" s="45"/>
      <c r="ER551" s="45"/>
      <c r="ES551" s="45"/>
      <c r="ET551" s="45"/>
      <c r="EU551" s="45"/>
      <c r="EV551" s="45"/>
      <c r="EW551" s="45"/>
      <c r="EX551" s="45"/>
      <c r="EY551" s="45"/>
      <c r="EZ551" s="45"/>
      <c r="FA551" s="45"/>
      <c r="FB551" s="45"/>
      <c r="FC551" s="45"/>
      <c r="FD551" s="45"/>
      <c r="FE551" s="45"/>
      <c r="FF551" s="45"/>
      <c r="FG551" s="45"/>
      <c r="FH551" s="45"/>
      <c r="FI551" s="45"/>
      <c r="FJ551" s="45"/>
      <c r="FK551" s="45"/>
      <c r="FL551" s="45"/>
      <c r="FM551" s="45"/>
      <c r="FN551" s="45"/>
      <c r="FO551" s="45"/>
      <c r="FP551" s="45"/>
      <c r="FQ551" s="45"/>
      <c r="FR551" s="45"/>
      <c r="FS551" s="45"/>
      <c r="FT551" s="45"/>
      <c r="FU551" s="45"/>
      <c r="FV551" s="45"/>
      <c r="FW551" s="45"/>
      <c r="FX551" s="45"/>
      <c r="FY551" s="45"/>
      <c r="FZ551" s="45"/>
      <c r="GA551" s="45"/>
      <c r="GB551" s="45"/>
      <c r="GC551" s="45"/>
      <c r="GD551" s="45"/>
      <c r="GE551" s="45"/>
      <c r="GF551" s="45"/>
      <c r="GG551" s="45"/>
      <c r="GH551" s="45"/>
      <c r="GI551" s="45"/>
      <c r="GJ551" s="45"/>
      <c r="GK551" s="45"/>
      <c r="GL551" s="45"/>
      <c r="GM551" s="45"/>
      <c r="GN551" s="45"/>
      <c r="GO551" s="45"/>
      <c r="GP551" s="45"/>
      <c r="GQ551" s="45"/>
      <c r="GR551" s="45"/>
      <c r="GS551" s="45"/>
      <c r="GT551" s="45"/>
      <c r="GU551" s="45"/>
      <c r="GV551" s="45"/>
      <c r="GW551" s="45"/>
      <c r="GX551" s="45"/>
      <c r="GY551" s="45"/>
      <c r="GZ551" s="45"/>
      <c r="HA551" s="45"/>
      <c r="HB551" s="45"/>
      <c r="HC551" s="45"/>
      <c r="HD551" s="45"/>
      <c r="HE551" s="45"/>
      <c r="HF551" s="45"/>
      <c r="HG551" s="45"/>
      <c r="HH551" s="45"/>
      <c r="HI551" s="45"/>
      <c r="HJ551" s="45"/>
      <c r="HK551" s="45"/>
      <c r="HL551" s="45"/>
      <c r="HM551" s="45"/>
      <c r="HN551" s="45"/>
      <c r="HO551" s="45"/>
      <c r="HP551" s="45"/>
      <c r="HQ551" s="45"/>
      <c r="HR551" s="45"/>
      <c r="HS551" s="45"/>
      <c r="HT551" s="45"/>
      <c r="HU551" s="45"/>
      <c r="HV551" s="45"/>
      <c r="HW551" s="45"/>
      <c r="HX551" s="45"/>
      <c r="HY551" s="45"/>
    </row>
    <row r="552" spans="1:233" s="46" customFormat="1" ht="15" customHeight="1">
      <c r="A552" s="73" t="s">
        <v>44</v>
      </c>
      <c r="B552" s="26" t="s">
        <v>10</v>
      </c>
      <c r="C552" s="26" t="s">
        <v>13</v>
      </c>
      <c r="D552" s="26" t="s">
        <v>610</v>
      </c>
      <c r="E552" s="26" t="s">
        <v>67</v>
      </c>
      <c r="F552" s="26" t="s">
        <v>44</v>
      </c>
      <c r="G552" s="26" t="s">
        <v>198</v>
      </c>
      <c r="H552" s="26" t="s">
        <v>22</v>
      </c>
      <c r="I552" s="26" t="s">
        <v>641</v>
      </c>
      <c r="J552" s="26" t="s">
        <v>16</v>
      </c>
      <c r="K552" s="27" t="s">
        <v>73</v>
      </c>
      <c r="L552" s="26">
        <f t="shared" ref="L552:M552" si="128">L560+L568</f>
        <v>446</v>
      </c>
      <c r="M552" s="26">
        <f t="shared" si="128"/>
        <v>310</v>
      </c>
      <c r="N552" s="82">
        <f t="shared" si="115"/>
        <v>69.506726457399097</v>
      </c>
      <c r="O552" s="26">
        <f t="shared" ref="O552:P552" si="129">O560+O568</f>
        <v>442</v>
      </c>
      <c r="P552" s="26">
        <f t="shared" si="129"/>
        <v>120</v>
      </c>
      <c r="Q552" s="82">
        <f t="shared" si="117"/>
        <v>27.149321266968325</v>
      </c>
      <c r="R552" s="31">
        <v>28</v>
      </c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  <c r="BP552" s="45"/>
      <c r="BQ552" s="45"/>
      <c r="BR552" s="45"/>
      <c r="BS552" s="45"/>
      <c r="BT552" s="45"/>
      <c r="BU552" s="45"/>
      <c r="BV552" s="45"/>
      <c r="BW552" s="45"/>
      <c r="BX552" s="45"/>
      <c r="BY552" s="45"/>
      <c r="BZ552" s="45"/>
      <c r="CA552" s="45"/>
      <c r="CB552" s="45"/>
      <c r="CC552" s="45"/>
      <c r="CD552" s="45"/>
      <c r="CE552" s="45"/>
      <c r="CF552" s="45"/>
      <c r="CG552" s="45"/>
      <c r="CH552" s="45"/>
      <c r="CI552" s="45"/>
      <c r="CJ552" s="45"/>
      <c r="CK552" s="45"/>
      <c r="CL552" s="45"/>
      <c r="CM552" s="45"/>
      <c r="CN552" s="45"/>
      <c r="CO552" s="45"/>
      <c r="CP552" s="45"/>
      <c r="CQ552" s="45"/>
      <c r="CR552" s="45"/>
      <c r="CS552" s="45"/>
      <c r="CT552" s="45"/>
      <c r="CU552" s="45"/>
      <c r="CV552" s="45"/>
      <c r="CW552" s="45"/>
      <c r="CX552" s="45"/>
      <c r="CY552" s="45"/>
      <c r="CZ552" s="45"/>
      <c r="DA552" s="45"/>
      <c r="DB552" s="45"/>
      <c r="DC552" s="45"/>
      <c r="DD552" s="45"/>
      <c r="DE552" s="45"/>
      <c r="DF552" s="45"/>
      <c r="DG552" s="45"/>
      <c r="DH552" s="45"/>
      <c r="DI552" s="45"/>
      <c r="DJ552" s="45"/>
      <c r="DK552" s="45"/>
      <c r="DL552" s="45"/>
      <c r="DM552" s="45"/>
      <c r="DN552" s="45"/>
      <c r="DO552" s="45"/>
      <c r="DP552" s="45"/>
      <c r="DQ552" s="45"/>
      <c r="DR552" s="45"/>
      <c r="DS552" s="45"/>
      <c r="DT552" s="45"/>
      <c r="DU552" s="45"/>
      <c r="DV552" s="45"/>
      <c r="DW552" s="45"/>
      <c r="DX552" s="45"/>
      <c r="DY552" s="45"/>
      <c r="DZ552" s="45"/>
      <c r="EA552" s="45"/>
      <c r="EB552" s="45"/>
      <c r="EC552" s="45"/>
      <c r="ED552" s="45"/>
      <c r="EE552" s="45"/>
      <c r="EF552" s="45"/>
      <c r="EG552" s="45"/>
      <c r="EH552" s="45"/>
      <c r="EI552" s="45"/>
      <c r="EJ552" s="45"/>
      <c r="EK552" s="45"/>
      <c r="EL552" s="45"/>
      <c r="EM552" s="45"/>
      <c r="EN552" s="45"/>
      <c r="EO552" s="45"/>
      <c r="EP552" s="45"/>
      <c r="EQ552" s="45"/>
      <c r="ER552" s="45"/>
      <c r="ES552" s="45"/>
      <c r="ET552" s="45"/>
      <c r="EU552" s="45"/>
      <c r="EV552" s="45"/>
      <c r="EW552" s="45"/>
      <c r="EX552" s="45"/>
      <c r="EY552" s="45"/>
      <c r="EZ552" s="45"/>
      <c r="FA552" s="45"/>
      <c r="FB552" s="45"/>
      <c r="FC552" s="45"/>
      <c r="FD552" s="45"/>
      <c r="FE552" s="45"/>
      <c r="FF552" s="45"/>
      <c r="FG552" s="45"/>
      <c r="FH552" s="45"/>
      <c r="FI552" s="45"/>
      <c r="FJ552" s="45"/>
      <c r="FK552" s="45"/>
      <c r="FL552" s="45"/>
      <c r="FM552" s="45"/>
      <c r="FN552" s="45"/>
      <c r="FO552" s="45"/>
      <c r="FP552" s="45"/>
      <c r="FQ552" s="45"/>
      <c r="FR552" s="45"/>
      <c r="FS552" s="45"/>
      <c r="FT552" s="45"/>
      <c r="FU552" s="45"/>
      <c r="FV552" s="45"/>
      <c r="FW552" s="45"/>
      <c r="FX552" s="45"/>
      <c r="FY552" s="45"/>
      <c r="FZ552" s="45"/>
      <c r="GA552" s="45"/>
      <c r="GB552" s="45"/>
      <c r="GC552" s="45"/>
      <c r="GD552" s="45"/>
      <c r="GE552" s="45"/>
      <c r="GF552" s="45"/>
      <c r="GG552" s="45"/>
      <c r="GH552" s="45"/>
      <c r="GI552" s="45"/>
      <c r="GJ552" s="45"/>
      <c r="GK552" s="45"/>
      <c r="GL552" s="45"/>
      <c r="GM552" s="45"/>
      <c r="GN552" s="45"/>
      <c r="GO552" s="45"/>
      <c r="GP552" s="45"/>
      <c r="GQ552" s="45"/>
      <c r="GR552" s="45"/>
      <c r="GS552" s="45"/>
      <c r="GT552" s="45"/>
      <c r="GU552" s="45"/>
      <c r="GV552" s="45"/>
      <c r="GW552" s="45"/>
      <c r="GX552" s="45"/>
      <c r="GY552" s="45"/>
      <c r="GZ552" s="45"/>
      <c r="HA552" s="45"/>
      <c r="HB552" s="45"/>
      <c r="HC552" s="45"/>
      <c r="HD552" s="45"/>
      <c r="HE552" s="45"/>
      <c r="HF552" s="45"/>
      <c r="HG552" s="45"/>
      <c r="HH552" s="45"/>
      <c r="HI552" s="45"/>
      <c r="HJ552" s="45"/>
      <c r="HK552" s="45"/>
      <c r="HL552" s="45"/>
      <c r="HM552" s="45"/>
      <c r="HN552" s="45"/>
      <c r="HO552" s="45"/>
      <c r="HP552" s="45"/>
      <c r="HQ552" s="45"/>
      <c r="HR552" s="45"/>
      <c r="HS552" s="45"/>
      <c r="HT552" s="45"/>
      <c r="HU552" s="45"/>
      <c r="HV552" s="45"/>
      <c r="HW552" s="45"/>
      <c r="HX552" s="45"/>
      <c r="HY552" s="45"/>
    </row>
    <row r="553" spans="1:233" s="46" customFormat="1" ht="15" customHeight="1">
      <c r="A553" s="73" t="s">
        <v>44</v>
      </c>
      <c r="B553" s="26" t="s">
        <v>10</v>
      </c>
      <c r="C553" s="26" t="s">
        <v>13</v>
      </c>
      <c r="D553" s="26" t="s">
        <v>610</v>
      </c>
      <c r="E553" s="26" t="s">
        <v>67</v>
      </c>
      <c r="F553" s="26" t="s">
        <v>44</v>
      </c>
      <c r="G553" s="26" t="s">
        <v>198</v>
      </c>
      <c r="H553" s="26" t="s">
        <v>22</v>
      </c>
      <c r="I553" s="26" t="s">
        <v>641</v>
      </c>
      <c r="J553" s="26" t="s">
        <v>23</v>
      </c>
      <c r="K553" s="27" t="s">
        <v>142</v>
      </c>
      <c r="L553" s="26">
        <f>SUM(L554:L560)</f>
        <v>1676</v>
      </c>
      <c r="M553" s="26">
        <f t="shared" ref="M553" si="130">SUM(M554:M560)</f>
        <v>859</v>
      </c>
      <c r="N553" s="82">
        <f>M553*100/L553</f>
        <v>51.252983293556085</v>
      </c>
      <c r="O553" s="26">
        <f t="shared" ref="O553" si="131">SUM(O554:O560)</f>
        <v>1438</v>
      </c>
      <c r="P553" s="26">
        <f t="shared" ref="P553" si="132">SUM(P554:P560)</f>
        <v>154</v>
      </c>
      <c r="Q553" s="82">
        <f>P553*100/O553</f>
        <v>10.709318497913769</v>
      </c>
      <c r="R553" s="31">
        <v>28</v>
      </c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  <c r="BP553" s="45"/>
      <c r="BQ553" s="45"/>
      <c r="BR553" s="45"/>
      <c r="BS553" s="45"/>
      <c r="BT553" s="45"/>
      <c r="BU553" s="45"/>
      <c r="BV553" s="45"/>
      <c r="BW553" s="45"/>
      <c r="BX553" s="45"/>
      <c r="BY553" s="45"/>
      <c r="BZ553" s="45"/>
      <c r="CA553" s="45"/>
      <c r="CB553" s="45"/>
      <c r="CC553" s="45"/>
      <c r="CD553" s="45"/>
      <c r="CE553" s="45"/>
      <c r="CF553" s="45"/>
      <c r="CG553" s="45"/>
      <c r="CH553" s="45"/>
      <c r="CI553" s="45"/>
      <c r="CJ553" s="45"/>
      <c r="CK553" s="45"/>
      <c r="CL553" s="45"/>
      <c r="CM553" s="45"/>
      <c r="CN553" s="45"/>
      <c r="CO553" s="45"/>
      <c r="CP553" s="45"/>
      <c r="CQ553" s="45"/>
      <c r="CR553" s="45"/>
      <c r="CS553" s="45"/>
      <c r="CT553" s="45"/>
      <c r="CU553" s="45"/>
      <c r="CV553" s="45"/>
      <c r="CW553" s="45"/>
      <c r="CX553" s="45"/>
      <c r="CY553" s="45"/>
      <c r="CZ553" s="45"/>
      <c r="DA553" s="45"/>
      <c r="DB553" s="45"/>
      <c r="DC553" s="45"/>
      <c r="DD553" s="45"/>
      <c r="DE553" s="45"/>
      <c r="DF553" s="45"/>
      <c r="DG553" s="45"/>
      <c r="DH553" s="45"/>
      <c r="DI553" s="45"/>
      <c r="DJ553" s="45"/>
      <c r="DK553" s="45"/>
      <c r="DL553" s="45"/>
      <c r="DM553" s="45"/>
      <c r="DN553" s="45"/>
      <c r="DO553" s="45"/>
      <c r="DP553" s="45"/>
      <c r="DQ553" s="45"/>
      <c r="DR553" s="45"/>
      <c r="DS553" s="45"/>
      <c r="DT553" s="45"/>
      <c r="DU553" s="45"/>
      <c r="DV553" s="45"/>
      <c r="DW553" s="45"/>
      <c r="DX553" s="45"/>
      <c r="DY553" s="45"/>
      <c r="DZ553" s="45"/>
      <c r="EA553" s="45"/>
      <c r="EB553" s="45"/>
      <c r="EC553" s="45"/>
      <c r="ED553" s="45"/>
      <c r="EE553" s="45"/>
      <c r="EF553" s="45"/>
      <c r="EG553" s="45"/>
      <c r="EH553" s="45"/>
      <c r="EI553" s="45"/>
      <c r="EJ553" s="45"/>
      <c r="EK553" s="45"/>
      <c r="EL553" s="45"/>
      <c r="EM553" s="45"/>
      <c r="EN553" s="45"/>
      <c r="EO553" s="45"/>
      <c r="EP553" s="45"/>
      <c r="EQ553" s="45"/>
      <c r="ER553" s="45"/>
      <c r="ES553" s="45"/>
      <c r="ET553" s="45"/>
      <c r="EU553" s="45"/>
      <c r="EV553" s="45"/>
      <c r="EW553" s="45"/>
      <c r="EX553" s="45"/>
      <c r="EY553" s="45"/>
      <c r="EZ553" s="45"/>
      <c r="FA553" s="45"/>
      <c r="FB553" s="45"/>
      <c r="FC553" s="45"/>
      <c r="FD553" s="45"/>
      <c r="FE553" s="45"/>
      <c r="FF553" s="45"/>
      <c r="FG553" s="45"/>
      <c r="FH553" s="45"/>
      <c r="FI553" s="45"/>
      <c r="FJ553" s="45"/>
      <c r="FK553" s="45"/>
      <c r="FL553" s="45"/>
      <c r="FM553" s="45"/>
      <c r="FN553" s="45"/>
      <c r="FO553" s="45"/>
      <c r="FP553" s="45"/>
      <c r="FQ553" s="45"/>
      <c r="FR553" s="45"/>
      <c r="FS553" s="45"/>
      <c r="FT553" s="45"/>
      <c r="FU553" s="45"/>
      <c r="FV553" s="45"/>
      <c r="FW553" s="45"/>
      <c r="FX553" s="45"/>
      <c r="FY553" s="45"/>
      <c r="FZ553" s="45"/>
      <c r="GA553" s="45"/>
      <c r="GB553" s="45"/>
      <c r="GC553" s="45"/>
      <c r="GD553" s="45"/>
      <c r="GE553" s="45"/>
      <c r="GF553" s="45"/>
      <c r="GG553" s="45"/>
      <c r="GH553" s="45"/>
      <c r="GI553" s="45"/>
      <c r="GJ553" s="45"/>
      <c r="GK553" s="45"/>
      <c r="GL553" s="45"/>
      <c r="GM553" s="45"/>
      <c r="GN553" s="45"/>
      <c r="GO553" s="45"/>
      <c r="GP553" s="45"/>
      <c r="GQ553" s="45"/>
      <c r="GR553" s="45"/>
      <c r="GS553" s="45"/>
      <c r="GT553" s="45"/>
      <c r="GU553" s="45"/>
      <c r="GV553" s="45"/>
      <c r="GW553" s="45"/>
      <c r="GX553" s="45"/>
      <c r="GY553" s="45"/>
      <c r="GZ553" s="45"/>
      <c r="HA553" s="45"/>
      <c r="HB553" s="45"/>
      <c r="HC553" s="45"/>
      <c r="HD553" s="45"/>
      <c r="HE553" s="45"/>
      <c r="HF553" s="45"/>
      <c r="HG553" s="45"/>
      <c r="HH553" s="45"/>
      <c r="HI553" s="45"/>
      <c r="HJ553" s="45"/>
      <c r="HK553" s="45"/>
      <c r="HL553" s="45"/>
      <c r="HM553" s="45"/>
      <c r="HN553" s="45"/>
      <c r="HO553" s="45"/>
      <c r="HP553" s="45"/>
      <c r="HQ553" s="45"/>
      <c r="HR553" s="45"/>
      <c r="HS553" s="45"/>
      <c r="HT553" s="45"/>
      <c r="HU553" s="45"/>
      <c r="HV553" s="45"/>
      <c r="HW553" s="45"/>
      <c r="HX553" s="45"/>
      <c r="HY553" s="45"/>
    </row>
    <row r="554" spans="1:233" s="46" customFormat="1" ht="15" customHeight="1">
      <c r="A554" s="73" t="s">
        <v>44</v>
      </c>
      <c r="B554" s="26" t="s">
        <v>10</v>
      </c>
      <c r="C554" s="26" t="s">
        <v>13</v>
      </c>
      <c r="D554" s="26" t="s">
        <v>610</v>
      </c>
      <c r="E554" s="26" t="s">
        <v>67</v>
      </c>
      <c r="F554" s="26" t="s">
        <v>44</v>
      </c>
      <c r="G554" s="26" t="s">
        <v>198</v>
      </c>
      <c r="H554" s="26" t="s">
        <v>22</v>
      </c>
      <c r="I554" s="26" t="s">
        <v>641</v>
      </c>
      <c r="J554" s="26" t="s">
        <v>23</v>
      </c>
      <c r="K554" s="27" t="s">
        <v>24</v>
      </c>
      <c r="L554" s="26">
        <v>368</v>
      </c>
      <c r="M554" s="28">
        <v>119</v>
      </c>
      <c r="N554" s="82">
        <f>M554*100/L554</f>
        <v>32.336956521739133</v>
      </c>
      <c r="O554" s="28">
        <v>134</v>
      </c>
      <c r="P554" s="28">
        <v>0</v>
      </c>
      <c r="Q554" s="82">
        <f>P554*100/O554</f>
        <v>0</v>
      </c>
      <c r="R554" s="31">
        <v>28</v>
      </c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  <c r="BP554" s="45"/>
      <c r="BQ554" s="45"/>
      <c r="BR554" s="45"/>
      <c r="BS554" s="45"/>
      <c r="BT554" s="45"/>
      <c r="BU554" s="45"/>
      <c r="BV554" s="45"/>
      <c r="BW554" s="45"/>
      <c r="BX554" s="45"/>
      <c r="BY554" s="45"/>
      <c r="BZ554" s="45"/>
      <c r="CA554" s="45"/>
      <c r="CB554" s="45"/>
      <c r="CC554" s="45"/>
      <c r="CD554" s="45"/>
      <c r="CE554" s="45"/>
      <c r="CF554" s="45"/>
      <c r="CG554" s="45"/>
      <c r="CH554" s="45"/>
      <c r="CI554" s="45"/>
      <c r="CJ554" s="45"/>
      <c r="CK554" s="45"/>
      <c r="CL554" s="45"/>
      <c r="CM554" s="45"/>
      <c r="CN554" s="45"/>
      <c r="CO554" s="45"/>
      <c r="CP554" s="45"/>
      <c r="CQ554" s="45"/>
      <c r="CR554" s="45"/>
      <c r="CS554" s="45"/>
      <c r="CT554" s="45"/>
      <c r="CU554" s="45"/>
      <c r="CV554" s="45"/>
      <c r="CW554" s="45"/>
      <c r="CX554" s="45"/>
      <c r="CY554" s="45"/>
      <c r="CZ554" s="45"/>
      <c r="DA554" s="45"/>
      <c r="DB554" s="45"/>
      <c r="DC554" s="45"/>
      <c r="DD554" s="45"/>
      <c r="DE554" s="45"/>
      <c r="DF554" s="45"/>
      <c r="DG554" s="45"/>
      <c r="DH554" s="45"/>
      <c r="DI554" s="45"/>
      <c r="DJ554" s="45"/>
      <c r="DK554" s="45"/>
      <c r="DL554" s="45"/>
      <c r="DM554" s="45"/>
      <c r="DN554" s="45"/>
      <c r="DO554" s="45"/>
      <c r="DP554" s="45"/>
      <c r="DQ554" s="45"/>
      <c r="DR554" s="45"/>
      <c r="DS554" s="45"/>
      <c r="DT554" s="45"/>
      <c r="DU554" s="45"/>
      <c r="DV554" s="45"/>
      <c r="DW554" s="45"/>
      <c r="DX554" s="45"/>
      <c r="DY554" s="45"/>
      <c r="DZ554" s="45"/>
      <c r="EA554" s="45"/>
      <c r="EB554" s="45"/>
      <c r="EC554" s="45"/>
      <c r="ED554" s="45"/>
      <c r="EE554" s="45"/>
      <c r="EF554" s="45"/>
      <c r="EG554" s="45"/>
      <c r="EH554" s="45"/>
      <c r="EI554" s="45"/>
      <c r="EJ554" s="45"/>
      <c r="EK554" s="45"/>
      <c r="EL554" s="45"/>
      <c r="EM554" s="45"/>
      <c r="EN554" s="45"/>
      <c r="EO554" s="45"/>
      <c r="EP554" s="45"/>
      <c r="EQ554" s="45"/>
      <c r="ER554" s="45"/>
      <c r="ES554" s="45"/>
      <c r="ET554" s="45"/>
      <c r="EU554" s="45"/>
      <c r="EV554" s="45"/>
      <c r="EW554" s="45"/>
      <c r="EX554" s="45"/>
      <c r="EY554" s="45"/>
      <c r="EZ554" s="45"/>
      <c r="FA554" s="45"/>
      <c r="FB554" s="45"/>
      <c r="FC554" s="45"/>
      <c r="FD554" s="45"/>
      <c r="FE554" s="45"/>
      <c r="FF554" s="45"/>
      <c r="FG554" s="45"/>
      <c r="FH554" s="45"/>
      <c r="FI554" s="45"/>
      <c r="FJ554" s="45"/>
      <c r="FK554" s="45"/>
      <c r="FL554" s="45"/>
      <c r="FM554" s="45"/>
      <c r="FN554" s="45"/>
      <c r="FO554" s="45"/>
      <c r="FP554" s="45"/>
      <c r="FQ554" s="45"/>
      <c r="FR554" s="45"/>
      <c r="FS554" s="45"/>
      <c r="FT554" s="45"/>
      <c r="FU554" s="45"/>
      <c r="FV554" s="45"/>
      <c r="FW554" s="45"/>
      <c r="FX554" s="45"/>
      <c r="FY554" s="45"/>
      <c r="FZ554" s="45"/>
      <c r="GA554" s="45"/>
      <c r="GB554" s="45"/>
      <c r="GC554" s="45"/>
      <c r="GD554" s="45"/>
      <c r="GE554" s="45"/>
      <c r="GF554" s="45"/>
      <c r="GG554" s="45"/>
      <c r="GH554" s="45"/>
      <c r="GI554" s="45"/>
      <c r="GJ554" s="45"/>
      <c r="GK554" s="45"/>
      <c r="GL554" s="45"/>
      <c r="GM554" s="45"/>
      <c r="GN554" s="45"/>
      <c r="GO554" s="45"/>
      <c r="GP554" s="45"/>
      <c r="GQ554" s="45"/>
      <c r="GR554" s="45"/>
      <c r="GS554" s="45"/>
      <c r="GT554" s="45"/>
      <c r="GU554" s="45"/>
      <c r="GV554" s="45"/>
      <c r="GW554" s="45"/>
      <c r="GX554" s="45"/>
      <c r="GY554" s="45"/>
      <c r="GZ554" s="45"/>
      <c r="HA554" s="45"/>
      <c r="HB554" s="45"/>
      <c r="HC554" s="45"/>
      <c r="HD554" s="45"/>
      <c r="HE554" s="45"/>
      <c r="HF554" s="45"/>
      <c r="HG554" s="45"/>
      <c r="HH554" s="45"/>
      <c r="HI554" s="45"/>
      <c r="HJ554" s="45"/>
      <c r="HK554" s="45"/>
      <c r="HL554" s="45"/>
      <c r="HM554" s="45"/>
      <c r="HN554" s="45"/>
      <c r="HO554" s="45"/>
      <c r="HP554" s="45"/>
      <c r="HQ554" s="45"/>
      <c r="HR554" s="45"/>
      <c r="HS554" s="45"/>
      <c r="HT554" s="45"/>
      <c r="HU554" s="45"/>
      <c r="HV554" s="45"/>
      <c r="HW554" s="45"/>
      <c r="HX554" s="45"/>
      <c r="HY554" s="45"/>
    </row>
    <row r="555" spans="1:233" s="46" customFormat="1" ht="15" customHeight="1">
      <c r="A555" s="73" t="s">
        <v>44</v>
      </c>
      <c r="B555" s="26" t="s">
        <v>10</v>
      </c>
      <c r="C555" s="26" t="s">
        <v>13</v>
      </c>
      <c r="D555" s="26" t="s">
        <v>610</v>
      </c>
      <c r="E555" s="26" t="s">
        <v>67</v>
      </c>
      <c r="F555" s="26" t="s">
        <v>44</v>
      </c>
      <c r="G555" s="26" t="s">
        <v>198</v>
      </c>
      <c r="H555" s="26" t="s">
        <v>22</v>
      </c>
      <c r="I555" s="26" t="s">
        <v>641</v>
      </c>
      <c r="J555" s="26" t="s">
        <v>23</v>
      </c>
      <c r="K555" s="27" t="s">
        <v>25</v>
      </c>
      <c r="L555" s="26">
        <v>234</v>
      </c>
      <c r="M555" s="28">
        <v>94</v>
      </c>
      <c r="N555" s="82">
        <f t="shared" ref="N555:N560" si="133">M555*100/L555</f>
        <v>40.17094017094017</v>
      </c>
      <c r="O555" s="28">
        <v>233</v>
      </c>
      <c r="P555" s="28">
        <v>5</v>
      </c>
      <c r="Q555" s="82">
        <f t="shared" ref="Q555:Q560" si="134">P555*100/O555</f>
        <v>2.1459227467811157</v>
      </c>
      <c r="R555" s="31">
        <v>28</v>
      </c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  <c r="BP555" s="45"/>
      <c r="BQ555" s="45"/>
      <c r="BR555" s="45"/>
      <c r="BS555" s="45"/>
      <c r="BT555" s="45"/>
      <c r="BU555" s="45"/>
      <c r="BV555" s="45"/>
      <c r="BW555" s="45"/>
      <c r="BX555" s="45"/>
      <c r="BY555" s="45"/>
      <c r="BZ555" s="45"/>
      <c r="CA555" s="45"/>
      <c r="CB555" s="45"/>
      <c r="CC555" s="45"/>
      <c r="CD555" s="45"/>
      <c r="CE555" s="45"/>
      <c r="CF555" s="45"/>
      <c r="CG555" s="45"/>
      <c r="CH555" s="45"/>
      <c r="CI555" s="45"/>
      <c r="CJ555" s="45"/>
      <c r="CK555" s="45"/>
      <c r="CL555" s="45"/>
      <c r="CM555" s="45"/>
      <c r="CN555" s="45"/>
      <c r="CO555" s="45"/>
      <c r="CP555" s="45"/>
      <c r="CQ555" s="45"/>
      <c r="CR555" s="45"/>
      <c r="CS555" s="45"/>
      <c r="CT555" s="45"/>
      <c r="CU555" s="45"/>
      <c r="CV555" s="45"/>
      <c r="CW555" s="45"/>
      <c r="CX555" s="45"/>
      <c r="CY555" s="45"/>
      <c r="CZ555" s="45"/>
      <c r="DA555" s="45"/>
      <c r="DB555" s="45"/>
      <c r="DC555" s="45"/>
      <c r="DD555" s="45"/>
      <c r="DE555" s="45"/>
      <c r="DF555" s="45"/>
      <c r="DG555" s="45"/>
      <c r="DH555" s="45"/>
      <c r="DI555" s="45"/>
      <c r="DJ555" s="45"/>
      <c r="DK555" s="45"/>
      <c r="DL555" s="45"/>
      <c r="DM555" s="45"/>
      <c r="DN555" s="45"/>
      <c r="DO555" s="45"/>
      <c r="DP555" s="45"/>
      <c r="DQ555" s="45"/>
      <c r="DR555" s="45"/>
      <c r="DS555" s="45"/>
      <c r="DT555" s="45"/>
      <c r="DU555" s="45"/>
      <c r="DV555" s="45"/>
      <c r="DW555" s="45"/>
      <c r="DX555" s="45"/>
      <c r="DY555" s="45"/>
      <c r="DZ555" s="45"/>
      <c r="EA555" s="45"/>
      <c r="EB555" s="45"/>
      <c r="EC555" s="45"/>
      <c r="ED555" s="45"/>
      <c r="EE555" s="45"/>
      <c r="EF555" s="45"/>
      <c r="EG555" s="45"/>
      <c r="EH555" s="45"/>
      <c r="EI555" s="45"/>
      <c r="EJ555" s="45"/>
      <c r="EK555" s="45"/>
      <c r="EL555" s="45"/>
      <c r="EM555" s="45"/>
      <c r="EN555" s="45"/>
      <c r="EO555" s="45"/>
      <c r="EP555" s="45"/>
      <c r="EQ555" s="45"/>
      <c r="ER555" s="45"/>
      <c r="ES555" s="45"/>
      <c r="ET555" s="45"/>
      <c r="EU555" s="45"/>
      <c r="EV555" s="45"/>
      <c r="EW555" s="45"/>
      <c r="EX555" s="45"/>
      <c r="EY555" s="45"/>
      <c r="EZ555" s="45"/>
      <c r="FA555" s="45"/>
      <c r="FB555" s="45"/>
      <c r="FC555" s="45"/>
      <c r="FD555" s="45"/>
      <c r="FE555" s="45"/>
      <c r="FF555" s="45"/>
      <c r="FG555" s="45"/>
      <c r="FH555" s="45"/>
      <c r="FI555" s="45"/>
      <c r="FJ555" s="45"/>
      <c r="FK555" s="45"/>
      <c r="FL555" s="45"/>
      <c r="FM555" s="45"/>
      <c r="FN555" s="45"/>
      <c r="FO555" s="45"/>
      <c r="FP555" s="45"/>
      <c r="FQ555" s="45"/>
      <c r="FR555" s="45"/>
      <c r="FS555" s="45"/>
      <c r="FT555" s="45"/>
      <c r="FU555" s="45"/>
      <c r="FV555" s="45"/>
      <c r="FW555" s="45"/>
      <c r="FX555" s="45"/>
      <c r="FY555" s="45"/>
      <c r="FZ555" s="45"/>
      <c r="GA555" s="45"/>
      <c r="GB555" s="45"/>
      <c r="GC555" s="45"/>
      <c r="GD555" s="45"/>
      <c r="GE555" s="45"/>
      <c r="GF555" s="45"/>
      <c r="GG555" s="45"/>
      <c r="GH555" s="45"/>
      <c r="GI555" s="45"/>
      <c r="GJ555" s="45"/>
      <c r="GK555" s="45"/>
      <c r="GL555" s="45"/>
      <c r="GM555" s="45"/>
      <c r="GN555" s="45"/>
      <c r="GO555" s="45"/>
      <c r="GP555" s="45"/>
      <c r="GQ555" s="45"/>
      <c r="GR555" s="45"/>
      <c r="GS555" s="45"/>
      <c r="GT555" s="45"/>
      <c r="GU555" s="45"/>
      <c r="GV555" s="45"/>
      <c r="GW555" s="45"/>
      <c r="GX555" s="45"/>
      <c r="GY555" s="45"/>
      <c r="GZ555" s="45"/>
      <c r="HA555" s="45"/>
      <c r="HB555" s="45"/>
      <c r="HC555" s="45"/>
      <c r="HD555" s="45"/>
      <c r="HE555" s="45"/>
      <c r="HF555" s="45"/>
      <c r="HG555" s="45"/>
      <c r="HH555" s="45"/>
      <c r="HI555" s="45"/>
      <c r="HJ555" s="45"/>
      <c r="HK555" s="45"/>
      <c r="HL555" s="45"/>
      <c r="HM555" s="45"/>
      <c r="HN555" s="45"/>
      <c r="HO555" s="45"/>
      <c r="HP555" s="45"/>
      <c r="HQ555" s="45"/>
      <c r="HR555" s="45"/>
      <c r="HS555" s="45"/>
      <c r="HT555" s="45"/>
      <c r="HU555" s="45"/>
      <c r="HV555" s="45"/>
      <c r="HW555" s="45"/>
      <c r="HX555" s="45"/>
      <c r="HY555" s="45"/>
    </row>
    <row r="556" spans="1:233" s="46" customFormat="1" ht="15" customHeight="1">
      <c r="A556" s="73" t="s">
        <v>44</v>
      </c>
      <c r="B556" s="26" t="s">
        <v>10</v>
      </c>
      <c r="C556" s="26" t="s">
        <v>13</v>
      </c>
      <c r="D556" s="26" t="s">
        <v>610</v>
      </c>
      <c r="E556" s="26" t="s">
        <v>67</v>
      </c>
      <c r="F556" s="26" t="s">
        <v>44</v>
      </c>
      <c r="G556" s="26" t="s">
        <v>198</v>
      </c>
      <c r="H556" s="26" t="s">
        <v>22</v>
      </c>
      <c r="I556" s="26" t="s">
        <v>641</v>
      </c>
      <c r="J556" s="26" t="s">
        <v>23</v>
      </c>
      <c r="K556" s="27" t="s">
        <v>26</v>
      </c>
      <c r="L556" s="26">
        <v>200</v>
      </c>
      <c r="M556" s="28">
        <v>87</v>
      </c>
      <c r="N556" s="82">
        <f t="shared" si="133"/>
        <v>43.5</v>
      </c>
      <c r="O556" s="28">
        <v>200</v>
      </c>
      <c r="P556" s="28">
        <v>16</v>
      </c>
      <c r="Q556" s="82">
        <f t="shared" si="134"/>
        <v>8</v>
      </c>
      <c r="R556" s="31">
        <v>28</v>
      </c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  <c r="BP556" s="45"/>
      <c r="BQ556" s="45"/>
      <c r="BR556" s="45"/>
      <c r="BS556" s="45"/>
      <c r="BT556" s="45"/>
      <c r="BU556" s="45"/>
      <c r="BV556" s="45"/>
      <c r="BW556" s="45"/>
      <c r="BX556" s="45"/>
      <c r="BY556" s="45"/>
      <c r="BZ556" s="45"/>
      <c r="CA556" s="45"/>
      <c r="CB556" s="45"/>
      <c r="CC556" s="45"/>
      <c r="CD556" s="45"/>
      <c r="CE556" s="45"/>
      <c r="CF556" s="45"/>
      <c r="CG556" s="45"/>
      <c r="CH556" s="45"/>
      <c r="CI556" s="45"/>
      <c r="CJ556" s="45"/>
      <c r="CK556" s="45"/>
      <c r="CL556" s="45"/>
      <c r="CM556" s="45"/>
      <c r="CN556" s="45"/>
      <c r="CO556" s="45"/>
      <c r="CP556" s="45"/>
      <c r="CQ556" s="45"/>
      <c r="CR556" s="45"/>
      <c r="CS556" s="45"/>
      <c r="CT556" s="45"/>
      <c r="CU556" s="45"/>
      <c r="CV556" s="45"/>
      <c r="CW556" s="45"/>
      <c r="CX556" s="45"/>
      <c r="CY556" s="45"/>
      <c r="CZ556" s="45"/>
      <c r="DA556" s="45"/>
      <c r="DB556" s="45"/>
      <c r="DC556" s="45"/>
      <c r="DD556" s="45"/>
      <c r="DE556" s="45"/>
      <c r="DF556" s="45"/>
      <c r="DG556" s="45"/>
      <c r="DH556" s="45"/>
      <c r="DI556" s="45"/>
      <c r="DJ556" s="45"/>
      <c r="DK556" s="45"/>
      <c r="DL556" s="45"/>
      <c r="DM556" s="45"/>
      <c r="DN556" s="45"/>
      <c r="DO556" s="45"/>
      <c r="DP556" s="45"/>
      <c r="DQ556" s="45"/>
      <c r="DR556" s="45"/>
      <c r="DS556" s="45"/>
      <c r="DT556" s="45"/>
      <c r="DU556" s="45"/>
      <c r="DV556" s="45"/>
      <c r="DW556" s="45"/>
      <c r="DX556" s="45"/>
      <c r="DY556" s="45"/>
      <c r="DZ556" s="45"/>
      <c r="EA556" s="45"/>
      <c r="EB556" s="45"/>
      <c r="EC556" s="45"/>
      <c r="ED556" s="45"/>
      <c r="EE556" s="45"/>
      <c r="EF556" s="45"/>
      <c r="EG556" s="45"/>
      <c r="EH556" s="45"/>
      <c r="EI556" s="45"/>
      <c r="EJ556" s="45"/>
      <c r="EK556" s="45"/>
      <c r="EL556" s="45"/>
      <c r="EM556" s="45"/>
      <c r="EN556" s="45"/>
      <c r="EO556" s="45"/>
      <c r="EP556" s="45"/>
      <c r="EQ556" s="45"/>
      <c r="ER556" s="45"/>
      <c r="ES556" s="45"/>
      <c r="ET556" s="45"/>
      <c r="EU556" s="45"/>
      <c r="EV556" s="45"/>
      <c r="EW556" s="45"/>
      <c r="EX556" s="45"/>
      <c r="EY556" s="45"/>
      <c r="EZ556" s="45"/>
      <c r="FA556" s="45"/>
      <c r="FB556" s="45"/>
      <c r="FC556" s="45"/>
      <c r="FD556" s="45"/>
      <c r="FE556" s="45"/>
      <c r="FF556" s="45"/>
      <c r="FG556" s="45"/>
      <c r="FH556" s="45"/>
      <c r="FI556" s="45"/>
      <c r="FJ556" s="45"/>
      <c r="FK556" s="45"/>
      <c r="FL556" s="45"/>
      <c r="FM556" s="45"/>
      <c r="FN556" s="45"/>
      <c r="FO556" s="45"/>
      <c r="FP556" s="45"/>
      <c r="FQ556" s="45"/>
      <c r="FR556" s="45"/>
      <c r="FS556" s="45"/>
      <c r="FT556" s="45"/>
      <c r="FU556" s="45"/>
      <c r="FV556" s="45"/>
      <c r="FW556" s="45"/>
      <c r="FX556" s="45"/>
      <c r="FY556" s="45"/>
      <c r="FZ556" s="45"/>
      <c r="GA556" s="45"/>
      <c r="GB556" s="45"/>
      <c r="GC556" s="45"/>
      <c r="GD556" s="45"/>
      <c r="GE556" s="45"/>
      <c r="GF556" s="45"/>
      <c r="GG556" s="45"/>
      <c r="GH556" s="45"/>
      <c r="GI556" s="45"/>
      <c r="GJ556" s="45"/>
      <c r="GK556" s="45"/>
      <c r="GL556" s="45"/>
      <c r="GM556" s="45"/>
      <c r="GN556" s="45"/>
      <c r="GO556" s="45"/>
      <c r="GP556" s="45"/>
      <c r="GQ556" s="45"/>
      <c r="GR556" s="45"/>
      <c r="GS556" s="45"/>
      <c r="GT556" s="45"/>
      <c r="GU556" s="45"/>
      <c r="GV556" s="45"/>
      <c r="GW556" s="45"/>
      <c r="GX556" s="45"/>
      <c r="GY556" s="45"/>
      <c r="GZ556" s="45"/>
      <c r="HA556" s="45"/>
      <c r="HB556" s="45"/>
      <c r="HC556" s="45"/>
      <c r="HD556" s="45"/>
      <c r="HE556" s="45"/>
      <c r="HF556" s="45"/>
      <c r="HG556" s="45"/>
      <c r="HH556" s="45"/>
      <c r="HI556" s="45"/>
      <c r="HJ556" s="45"/>
      <c r="HK556" s="45"/>
      <c r="HL556" s="45"/>
      <c r="HM556" s="45"/>
      <c r="HN556" s="45"/>
      <c r="HO556" s="45"/>
      <c r="HP556" s="45"/>
      <c r="HQ556" s="45"/>
      <c r="HR556" s="45"/>
      <c r="HS556" s="45"/>
      <c r="HT556" s="45"/>
      <c r="HU556" s="45"/>
      <c r="HV556" s="45"/>
      <c r="HW556" s="45"/>
      <c r="HX556" s="45"/>
      <c r="HY556" s="45"/>
    </row>
    <row r="557" spans="1:233" s="46" customFormat="1" ht="15" customHeight="1">
      <c r="A557" s="73" t="s">
        <v>44</v>
      </c>
      <c r="B557" s="26" t="s">
        <v>10</v>
      </c>
      <c r="C557" s="26" t="s">
        <v>13</v>
      </c>
      <c r="D557" s="26" t="s">
        <v>610</v>
      </c>
      <c r="E557" s="26" t="s">
        <v>67</v>
      </c>
      <c r="F557" s="26" t="s">
        <v>44</v>
      </c>
      <c r="G557" s="26" t="s">
        <v>198</v>
      </c>
      <c r="H557" s="26" t="s">
        <v>22</v>
      </c>
      <c r="I557" s="26" t="s">
        <v>641</v>
      </c>
      <c r="J557" s="26" t="s">
        <v>23</v>
      </c>
      <c r="K557" s="27" t="s">
        <v>27</v>
      </c>
      <c r="L557" s="26">
        <v>240</v>
      </c>
      <c r="M557" s="28">
        <v>139</v>
      </c>
      <c r="N557" s="82">
        <f t="shared" si="133"/>
        <v>57.916666666666664</v>
      </c>
      <c r="O557" s="28">
        <v>240</v>
      </c>
      <c r="P557" s="28">
        <v>26</v>
      </c>
      <c r="Q557" s="82">
        <f t="shared" si="134"/>
        <v>10.833333333333334</v>
      </c>
      <c r="R557" s="31">
        <v>28</v>
      </c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  <c r="BP557" s="45"/>
      <c r="BQ557" s="45"/>
      <c r="BR557" s="45"/>
      <c r="BS557" s="45"/>
      <c r="BT557" s="45"/>
      <c r="BU557" s="45"/>
      <c r="BV557" s="45"/>
      <c r="BW557" s="45"/>
      <c r="BX557" s="45"/>
      <c r="BY557" s="45"/>
      <c r="BZ557" s="45"/>
      <c r="CA557" s="45"/>
      <c r="CB557" s="45"/>
      <c r="CC557" s="45"/>
      <c r="CD557" s="45"/>
      <c r="CE557" s="45"/>
      <c r="CF557" s="45"/>
      <c r="CG557" s="45"/>
      <c r="CH557" s="45"/>
      <c r="CI557" s="45"/>
      <c r="CJ557" s="45"/>
      <c r="CK557" s="45"/>
      <c r="CL557" s="45"/>
      <c r="CM557" s="45"/>
      <c r="CN557" s="45"/>
      <c r="CO557" s="45"/>
      <c r="CP557" s="45"/>
      <c r="CQ557" s="45"/>
      <c r="CR557" s="45"/>
      <c r="CS557" s="45"/>
      <c r="CT557" s="45"/>
      <c r="CU557" s="45"/>
      <c r="CV557" s="45"/>
      <c r="CW557" s="45"/>
      <c r="CX557" s="45"/>
      <c r="CY557" s="45"/>
      <c r="CZ557" s="45"/>
      <c r="DA557" s="45"/>
      <c r="DB557" s="45"/>
      <c r="DC557" s="45"/>
      <c r="DD557" s="45"/>
      <c r="DE557" s="45"/>
      <c r="DF557" s="45"/>
      <c r="DG557" s="45"/>
      <c r="DH557" s="45"/>
      <c r="DI557" s="45"/>
      <c r="DJ557" s="45"/>
      <c r="DK557" s="45"/>
      <c r="DL557" s="45"/>
      <c r="DM557" s="45"/>
      <c r="DN557" s="45"/>
      <c r="DO557" s="45"/>
      <c r="DP557" s="45"/>
      <c r="DQ557" s="45"/>
      <c r="DR557" s="45"/>
      <c r="DS557" s="45"/>
      <c r="DT557" s="45"/>
      <c r="DU557" s="45"/>
      <c r="DV557" s="45"/>
      <c r="DW557" s="45"/>
      <c r="DX557" s="45"/>
      <c r="DY557" s="45"/>
      <c r="DZ557" s="45"/>
      <c r="EA557" s="45"/>
      <c r="EB557" s="45"/>
      <c r="EC557" s="45"/>
      <c r="ED557" s="45"/>
      <c r="EE557" s="45"/>
      <c r="EF557" s="45"/>
      <c r="EG557" s="45"/>
      <c r="EH557" s="45"/>
      <c r="EI557" s="45"/>
      <c r="EJ557" s="45"/>
      <c r="EK557" s="45"/>
      <c r="EL557" s="45"/>
      <c r="EM557" s="45"/>
      <c r="EN557" s="45"/>
      <c r="EO557" s="45"/>
      <c r="EP557" s="45"/>
      <c r="EQ557" s="45"/>
      <c r="ER557" s="45"/>
      <c r="ES557" s="45"/>
      <c r="ET557" s="45"/>
      <c r="EU557" s="45"/>
      <c r="EV557" s="45"/>
      <c r="EW557" s="45"/>
      <c r="EX557" s="45"/>
      <c r="EY557" s="45"/>
      <c r="EZ557" s="45"/>
      <c r="FA557" s="45"/>
      <c r="FB557" s="45"/>
      <c r="FC557" s="45"/>
      <c r="FD557" s="45"/>
      <c r="FE557" s="45"/>
      <c r="FF557" s="45"/>
      <c r="FG557" s="45"/>
      <c r="FH557" s="45"/>
      <c r="FI557" s="45"/>
      <c r="FJ557" s="45"/>
      <c r="FK557" s="45"/>
      <c r="FL557" s="45"/>
      <c r="FM557" s="45"/>
      <c r="FN557" s="45"/>
      <c r="FO557" s="45"/>
      <c r="FP557" s="45"/>
      <c r="FQ557" s="45"/>
      <c r="FR557" s="45"/>
      <c r="FS557" s="45"/>
      <c r="FT557" s="45"/>
      <c r="FU557" s="45"/>
      <c r="FV557" s="45"/>
      <c r="FW557" s="45"/>
      <c r="FX557" s="45"/>
      <c r="FY557" s="45"/>
      <c r="FZ557" s="45"/>
      <c r="GA557" s="45"/>
      <c r="GB557" s="45"/>
      <c r="GC557" s="45"/>
      <c r="GD557" s="45"/>
      <c r="GE557" s="45"/>
      <c r="GF557" s="45"/>
      <c r="GG557" s="45"/>
      <c r="GH557" s="45"/>
      <c r="GI557" s="45"/>
      <c r="GJ557" s="45"/>
      <c r="GK557" s="45"/>
      <c r="GL557" s="45"/>
      <c r="GM557" s="45"/>
      <c r="GN557" s="45"/>
      <c r="GO557" s="45"/>
      <c r="GP557" s="45"/>
      <c r="GQ557" s="45"/>
      <c r="GR557" s="45"/>
      <c r="GS557" s="45"/>
      <c r="GT557" s="45"/>
      <c r="GU557" s="45"/>
      <c r="GV557" s="45"/>
      <c r="GW557" s="45"/>
      <c r="GX557" s="45"/>
      <c r="GY557" s="45"/>
      <c r="GZ557" s="45"/>
      <c r="HA557" s="45"/>
      <c r="HB557" s="45"/>
      <c r="HC557" s="45"/>
      <c r="HD557" s="45"/>
      <c r="HE557" s="45"/>
      <c r="HF557" s="45"/>
      <c r="HG557" s="45"/>
      <c r="HH557" s="45"/>
      <c r="HI557" s="45"/>
      <c r="HJ557" s="45"/>
      <c r="HK557" s="45"/>
      <c r="HL557" s="45"/>
      <c r="HM557" s="45"/>
      <c r="HN557" s="45"/>
      <c r="HO557" s="45"/>
      <c r="HP557" s="45"/>
      <c r="HQ557" s="45"/>
      <c r="HR557" s="45"/>
      <c r="HS557" s="45"/>
      <c r="HT557" s="45"/>
      <c r="HU557" s="45"/>
      <c r="HV557" s="45"/>
      <c r="HW557" s="45"/>
      <c r="HX557" s="45"/>
      <c r="HY557" s="45"/>
    </row>
    <row r="558" spans="1:233" s="46" customFormat="1" ht="15" customHeight="1">
      <c r="A558" s="73" t="s">
        <v>44</v>
      </c>
      <c r="B558" s="26" t="s">
        <v>10</v>
      </c>
      <c r="C558" s="26" t="s">
        <v>13</v>
      </c>
      <c r="D558" s="26" t="s">
        <v>610</v>
      </c>
      <c r="E558" s="26" t="s">
        <v>67</v>
      </c>
      <c r="F558" s="26" t="s">
        <v>44</v>
      </c>
      <c r="G558" s="26" t="s">
        <v>198</v>
      </c>
      <c r="H558" s="26" t="s">
        <v>22</v>
      </c>
      <c r="I558" s="26" t="s">
        <v>641</v>
      </c>
      <c r="J558" s="26" t="s">
        <v>23</v>
      </c>
      <c r="K558" s="27" t="s">
        <v>28</v>
      </c>
      <c r="L558" s="26">
        <v>195</v>
      </c>
      <c r="M558" s="28">
        <v>121</v>
      </c>
      <c r="N558" s="82">
        <f t="shared" si="133"/>
        <v>62.051282051282051</v>
      </c>
      <c r="O558" s="28">
        <v>195</v>
      </c>
      <c r="P558" s="28">
        <v>35</v>
      </c>
      <c r="Q558" s="82">
        <f t="shared" si="134"/>
        <v>17.948717948717949</v>
      </c>
      <c r="R558" s="31">
        <v>28</v>
      </c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  <c r="BP558" s="45"/>
      <c r="BQ558" s="45"/>
      <c r="BR558" s="45"/>
      <c r="BS558" s="45"/>
      <c r="BT558" s="45"/>
      <c r="BU558" s="45"/>
      <c r="BV558" s="45"/>
      <c r="BW558" s="45"/>
      <c r="BX558" s="45"/>
      <c r="BY558" s="45"/>
      <c r="BZ558" s="45"/>
      <c r="CA558" s="45"/>
      <c r="CB558" s="45"/>
      <c r="CC558" s="45"/>
      <c r="CD558" s="45"/>
      <c r="CE558" s="45"/>
      <c r="CF558" s="45"/>
      <c r="CG558" s="45"/>
      <c r="CH558" s="45"/>
      <c r="CI558" s="45"/>
      <c r="CJ558" s="45"/>
      <c r="CK558" s="45"/>
      <c r="CL558" s="45"/>
      <c r="CM558" s="45"/>
      <c r="CN558" s="45"/>
      <c r="CO558" s="45"/>
      <c r="CP558" s="45"/>
      <c r="CQ558" s="45"/>
      <c r="CR558" s="45"/>
      <c r="CS558" s="45"/>
      <c r="CT558" s="45"/>
      <c r="CU558" s="45"/>
      <c r="CV558" s="45"/>
      <c r="CW558" s="45"/>
      <c r="CX558" s="45"/>
      <c r="CY558" s="45"/>
      <c r="CZ558" s="45"/>
      <c r="DA558" s="45"/>
      <c r="DB558" s="45"/>
      <c r="DC558" s="45"/>
      <c r="DD558" s="45"/>
      <c r="DE558" s="45"/>
      <c r="DF558" s="45"/>
      <c r="DG558" s="45"/>
      <c r="DH558" s="45"/>
      <c r="DI558" s="45"/>
      <c r="DJ558" s="45"/>
      <c r="DK558" s="45"/>
      <c r="DL558" s="45"/>
      <c r="DM558" s="45"/>
      <c r="DN558" s="45"/>
      <c r="DO558" s="45"/>
      <c r="DP558" s="45"/>
      <c r="DQ558" s="45"/>
      <c r="DR558" s="45"/>
      <c r="DS558" s="45"/>
      <c r="DT558" s="45"/>
      <c r="DU558" s="45"/>
      <c r="DV558" s="45"/>
      <c r="DW558" s="45"/>
      <c r="DX558" s="45"/>
      <c r="DY558" s="45"/>
      <c r="DZ558" s="45"/>
      <c r="EA558" s="45"/>
      <c r="EB558" s="45"/>
      <c r="EC558" s="45"/>
      <c r="ED558" s="45"/>
      <c r="EE558" s="45"/>
      <c r="EF558" s="45"/>
      <c r="EG558" s="45"/>
      <c r="EH558" s="45"/>
      <c r="EI558" s="45"/>
      <c r="EJ558" s="45"/>
      <c r="EK558" s="45"/>
      <c r="EL558" s="45"/>
      <c r="EM558" s="45"/>
      <c r="EN558" s="45"/>
      <c r="EO558" s="45"/>
      <c r="EP558" s="45"/>
      <c r="EQ558" s="45"/>
      <c r="ER558" s="45"/>
      <c r="ES558" s="45"/>
      <c r="ET558" s="45"/>
      <c r="EU558" s="45"/>
      <c r="EV558" s="45"/>
      <c r="EW558" s="45"/>
      <c r="EX558" s="45"/>
      <c r="EY558" s="45"/>
      <c r="EZ558" s="45"/>
      <c r="FA558" s="45"/>
      <c r="FB558" s="45"/>
      <c r="FC558" s="45"/>
      <c r="FD558" s="45"/>
      <c r="FE558" s="45"/>
      <c r="FF558" s="45"/>
      <c r="FG558" s="45"/>
      <c r="FH558" s="45"/>
      <c r="FI558" s="45"/>
      <c r="FJ558" s="45"/>
      <c r="FK558" s="45"/>
      <c r="FL558" s="45"/>
      <c r="FM558" s="45"/>
      <c r="FN558" s="45"/>
      <c r="FO558" s="45"/>
      <c r="FP558" s="45"/>
      <c r="FQ558" s="45"/>
      <c r="FR558" s="45"/>
      <c r="FS558" s="45"/>
      <c r="FT558" s="45"/>
      <c r="FU558" s="45"/>
      <c r="FV558" s="45"/>
      <c r="FW558" s="45"/>
      <c r="FX558" s="45"/>
      <c r="FY558" s="45"/>
      <c r="FZ558" s="45"/>
      <c r="GA558" s="45"/>
      <c r="GB558" s="45"/>
      <c r="GC558" s="45"/>
      <c r="GD558" s="45"/>
      <c r="GE558" s="45"/>
      <c r="GF558" s="45"/>
      <c r="GG558" s="45"/>
      <c r="GH558" s="45"/>
      <c r="GI558" s="45"/>
      <c r="GJ558" s="45"/>
      <c r="GK558" s="45"/>
      <c r="GL558" s="45"/>
      <c r="GM558" s="45"/>
      <c r="GN558" s="45"/>
      <c r="GO558" s="45"/>
      <c r="GP558" s="45"/>
      <c r="GQ558" s="45"/>
      <c r="GR558" s="45"/>
      <c r="GS558" s="45"/>
      <c r="GT558" s="45"/>
      <c r="GU558" s="45"/>
      <c r="GV558" s="45"/>
      <c r="GW558" s="45"/>
      <c r="GX558" s="45"/>
      <c r="GY558" s="45"/>
      <c r="GZ558" s="45"/>
      <c r="HA558" s="45"/>
      <c r="HB558" s="45"/>
      <c r="HC558" s="45"/>
      <c r="HD558" s="45"/>
      <c r="HE558" s="45"/>
      <c r="HF558" s="45"/>
      <c r="HG558" s="45"/>
      <c r="HH558" s="45"/>
      <c r="HI558" s="45"/>
      <c r="HJ558" s="45"/>
      <c r="HK558" s="45"/>
      <c r="HL558" s="45"/>
      <c r="HM558" s="45"/>
      <c r="HN558" s="45"/>
      <c r="HO558" s="45"/>
      <c r="HP558" s="45"/>
      <c r="HQ558" s="45"/>
      <c r="HR558" s="45"/>
      <c r="HS558" s="45"/>
      <c r="HT558" s="45"/>
      <c r="HU558" s="45"/>
      <c r="HV558" s="45"/>
      <c r="HW558" s="45"/>
      <c r="HX558" s="45"/>
      <c r="HY558" s="45"/>
    </row>
    <row r="559" spans="1:233" s="46" customFormat="1" ht="15" customHeight="1">
      <c r="A559" s="73" t="s">
        <v>44</v>
      </c>
      <c r="B559" s="26" t="s">
        <v>10</v>
      </c>
      <c r="C559" s="26" t="s">
        <v>13</v>
      </c>
      <c r="D559" s="26" t="s">
        <v>610</v>
      </c>
      <c r="E559" s="26" t="s">
        <v>67</v>
      </c>
      <c r="F559" s="26" t="s">
        <v>44</v>
      </c>
      <c r="G559" s="26" t="s">
        <v>198</v>
      </c>
      <c r="H559" s="26" t="s">
        <v>22</v>
      </c>
      <c r="I559" s="26" t="s">
        <v>641</v>
      </c>
      <c r="J559" s="26" t="s">
        <v>23</v>
      </c>
      <c r="K559" s="27" t="s">
        <v>72</v>
      </c>
      <c r="L559" s="26">
        <v>226</v>
      </c>
      <c r="M559" s="28">
        <v>150</v>
      </c>
      <c r="N559" s="82">
        <f t="shared" si="133"/>
        <v>66.371681415929203</v>
      </c>
      <c r="O559" s="28">
        <v>226</v>
      </c>
      <c r="P559" s="28">
        <v>31</v>
      </c>
      <c r="Q559" s="82">
        <f t="shared" si="134"/>
        <v>13.716814159292035</v>
      </c>
      <c r="R559" s="31">
        <v>28</v>
      </c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  <c r="BP559" s="45"/>
      <c r="BQ559" s="45"/>
      <c r="BR559" s="45"/>
      <c r="BS559" s="45"/>
      <c r="BT559" s="45"/>
      <c r="BU559" s="45"/>
      <c r="BV559" s="45"/>
      <c r="BW559" s="45"/>
      <c r="BX559" s="45"/>
      <c r="BY559" s="45"/>
      <c r="BZ559" s="45"/>
      <c r="CA559" s="45"/>
      <c r="CB559" s="45"/>
      <c r="CC559" s="45"/>
      <c r="CD559" s="45"/>
      <c r="CE559" s="45"/>
      <c r="CF559" s="45"/>
      <c r="CG559" s="45"/>
      <c r="CH559" s="45"/>
      <c r="CI559" s="45"/>
      <c r="CJ559" s="45"/>
      <c r="CK559" s="45"/>
      <c r="CL559" s="45"/>
      <c r="CM559" s="45"/>
      <c r="CN559" s="45"/>
      <c r="CO559" s="45"/>
      <c r="CP559" s="45"/>
      <c r="CQ559" s="45"/>
      <c r="CR559" s="45"/>
      <c r="CS559" s="45"/>
      <c r="CT559" s="45"/>
      <c r="CU559" s="45"/>
      <c r="CV559" s="45"/>
      <c r="CW559" s="45"/>
      <c r="CX559" s="45"/>
      <c r="CY559" s="45"/>
      <c r="CZ559" s="45"/>
      <c r="DA559" s="45"/>
      <c r="DB559" s="45"/>
      <c r="DC559" s="45"/>
      <c r="DD559" s="45"/>
      <c r="DE559" s="45"/>
      <c r="DF559" s="45"/>
      <c r="DG559" s="45"/>
      <c r="DH559" s="45"/>
      <c r="DI559" s="45"/>
      <c r="DJ559" s="45"/>
      <c r="DK559" s="45"/>
      <c r="DL559" s="45"/>
      <c r="DM559" s="45"/>
      <c r="DN559" s="45"/>
      <c r="DO559" s="45"/>
      <c r="DP559" s="45"/>
      <c r="DQ559" s="45"/>
      <c r="DR559" s="45"/>
      <c r="DS559" s="45"/>
      <c r="DT559" s="45"/>
      <c r="DU559" s="45"/>
      <c r="DV559" s="45"/>
      <c r="DW559" s="45"/>
      <c r="DX559" s="45"/>
      <c r="DY559" s="45"/>
      <c r="DZ559" s="45"/>
      <c r="EA559" s="45"/>
      <c r="EB559" s="45"/>
      <c r="EC559" s="45"/>
      <c r="ED559" s="45"/>
      <c r="EE559" s="45"/>
      <c r="EF559" s="45"/>
      <c r="EG559" s="45"/>
      <c r="EH559" s="45"/>
      <c r="EI559" s="45"/>
      <c r="EJ559" s="45"/>
      <c r="EK559" s="45"/>
      <c r="EL559" s="45"/>
      <c r="EM559" s="45"/>
      <c r="EN559" s="45"/>
      <c r="EO559" s="45"/>
      <c r="EP559" s="45"/>
      <c r="EQ559" s="45"/>
      <c r="ER559" s="45"/>
      <c r="ES559" s="45"/>
      <c r="ET559" s="45"/>
      <c r="EU559" s="45"/>
      <c r="EV559" s="45"/>
      <c r="EW559" s="45"/>
      <c r="EX559" s="45"/>
      <c r="EY559" s="45"/>
      <c r="EZ559" s="45"/>
      <c r="FA559" s="45"/>
      <c r="FB559" s="45"/>
      <c r="FC559" s="45"/>
      <c r="FD559" s="45"/>
      <c r="FE559" s="45"/>
      <c r="FF559" s="45"/>
      <c r="FG559" s="45"/>
      <c r="FH559" s="45"/>
      <c r="FI559" s="45"/>
      <c r="FJ559" s="45"/>
      <c r="FK559" s="45"/>
      <c r="FL559" s="45"/>
      <c r="FM559" s="45"/>
      <c r="FN559" s="45"/>
      <c r="FO559" s="45"/>
      <c r="FP559" s="45"/>
      <c r="FQ559" s="45"/>
      <c r="FR559" s="45"/>
      <c r="FS559" s="45"/>
      <c r="FT559" s="45"/>
      <c r="FU559" s="45"/>
      <c r="FV559" s="45"/>
      <c r="FW559" s="45"/>
      <c r="FX559" s="45"/>
      <c r="FY559" s="45"/>
      <c r="FZ559" s="45"/>
      <c r="GA559" s="45"/>
      <c r="GB559" s="45"/>
      <c r="GC559" s="45"/>
      <c r="GD559" s="45"/>
      <c r="GE559" s="45"/>
      <c r="GF559" s="45"/>
      <c r="GG559" s="45"/>
      <c r="GH559" s="45"/>
      <c r="GI559" s="45"/>
      <c r="GJ559" s="45"/>
      <c r="GK559" s="45"/>
      <c r="GL559" s="45"/>
      <c r="GM559" s="45"/>
      <c r="GN559" s="45"/>
      <c r="GO559" s="45"/>
      <c r="GP559" s="45"/>
      <c r="GQ559" s="45"/>
      <c r="GR559" s="45"/>
      <c r="GS559" s="45"/>
      <c r="GT559" s="45"/>
      <c r="GU559" s="45"/>
      <c r="GV559" s="45"/>
      <c r="GW559" s="45"/>
      <c r="GX559" s="45"/>
      <c r="GY559" s="45"/>
      <c r="GZ559" s="45"/>
      <c r="HA559" s="45"/>
      <c r="HB559" s="45"/>
      <c r="HC559" s="45"/>
      <c r="HD559" s="45"/>
      <c r="HE559" s="45"/>
      <c r="HF559" s="45"/>
      <c r="HG559" s="45"/>
      <c r="HH559" s="45"/>
      <c r="HI559" s="45"/>
      <c r="HJ559" s="45"/>
      <c r="HK559" s="45"/>
      <c r="HL559" s="45"/>
      <c r="HM559" s="45"/>
      <c r="HN559" s="45"/>
      <c r="HO559" s="45"/>
      <c r="HP559" s="45"/>
      <c r="HQ559" s="45"/>
      <c r="HR559" s="45"/>
      <c r="HS559" s="45"/>
      <c r="HT559" s="45"/>
      <c r="HU559" s="45"/>
      <c r="HV559" s="45"/>
      <c r="HW559" s="45"/>
      <c r="HX559" s="45"/>
      <c r="HY559" s="45"/>
    </row>
    <row r="560" spans="1:233" s="46" customFormat="1" ht="15" customHeight="1">
      <c r="A560" s="73" t="s">
        <v>44</v>
      </c>
      <c r="B560" s="26" t="s">
        <v>10</v>
      </c>
      <c r="C560" s="26" t="s">
        <v>13</v>
      </c>
      <c r="D560" s="26" t="s">
        <v>610</v>
      </c>
      <c r="E560" s="26" t="s">
        <v>67</v>
      </c>
      <c r="F560" s="26" t="s">
        <v>44</v>
      </c>
      <c r="G560" s="26" t="s">
        <v>198</v>
      </c>
      <c r="H560" s="26" t="s">
        <v>22</v>
      </c>
      <c r="I560" s="26" t="s">
        <v>641</v>
      </c>
      <c r="J560" s="26" t="s">
        <v>23</v>
      </c>
      <c r="K560" s="27" t="s">
        <v>73</v>
      </c>
      <c r="L560" s="26">
        <v>213</v>
      </c>
      <c r="M560" s="28">
        <v>149</v>
      </c>
      <c r="N560" s="82">
        <f t="shared" si="133"/>
        <v>69.953051643192495</v>
      </c>
      <c r="O560" s="28">
        <v>210</v>
      </c>
      <c r="P560" s="28">
        <v>41</v>
      </c>
      <c r="Q560" s="82">
        <f t="shared" si="134"/>
        <v>19.523809523809526</v>
      </c>
      <c r="R560" s="31">
        <v>28</v>
      </c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  <c r="BP560" s="45"/>
      <c r="BQ560" s="45"/>
      <c r="BR560" s="45"/>
      <c r="BS560" s="45"/>
      <c r="BT560" s="45"/>
      <c r="BU560" s="45"/>
      <c r="BV560" s="45"/>
      <c r="BW560" s="45"/>
      <c r="BX560" s="45"/>
      <c r="BY560" s="45"/>
      <c r="BZ560" s="45"/>
      <c r="CA560" s="45"/>
      <c r="CB560" s="45"/>
      <c r="CC560" s="45"/>
      <c r="CD560" s="45"/>
      <c r="CE560" s="45"/>
      <c r="CF560" s="45"/>
      <c r="CG560" s="45"/>
      <c r="CH560" s="45"/>
      <c r="CI560" s="45"/>
      <c r="CJ560" s="45"/>
      <c r="CK560" s="45"/>
      <c r="CL560" s="45"/>
      <c r="CM560" s="45"/>
      <c r="CN560" s="45"/>
      <c r="CO560" s="45"/>
      <c r="CP560" s="45"/>
      <c r="CQ560" s="45"/>
      <c r="CR560" s="45"/>
      <c r="CS560" s="45"/>
      <c r="CT560" s="45"/>
      <c r="CU560" s="45"/>
      <c r="CV560" s="45"/>
      <c r="CW560" s="45"/>
      <c r="CX560" s="45"/>
      <c r="CY560" s="45"/>
      <c r="CZ560" s="45"/>
      <c r="DA560" s="45"/>
      <c r="DB560" s="45"/>
      <c r="DC560" s="45"/>
      <c r="DD560" s="45"/>
      <c r="DE560" s="45"/>
      <c r="DF560" s="45"/>
      <c r="DG560" s="45"/>
      <c r="DH560" s="45"/>
      <c r="DI560" s="45"/>
      <c r="DJ560" s="45"/>
      <c r="DK560" s="45"/>
      <c r="DL560" s="45"/>
      <c r="DM560" s="45"/>
      <c r="DN560" s="45"/>
      <c r="DO560" s="45"/>
      <c r="DP560" s="45"/>
      <c r="DQ560" s="45"/>
      <c r="DR560" s="45"/>
      <c r="DS560" s="45"/>
      <c r="DT560" s="45"/>
      <c r="DU560" s="45"/>
      <c r="DV560" s="45"/>
      <c r="DW560" s="45"/>
      <c r="DX560" s="45"/>
      <c r="DY560" s="45"/>
      <c r="DZ560" s="45"/>
      <c r="EA560" s="45"/>
      <c r="EB560" s="45"/>
      <c r="EC560" s="45"/>
      <c r="ED560" s="45"/>
      <c r="EE560" s="45"/>
      <c r="EF560" s="45"/>
      <c r="EG560" s="45"/>
      <c r="EH560" s="45"/>
      <c r="EI560" s="45"/>
      <c r="EJ560" s="45"/>
      <c r="EK560" s="45"/>
      <c r="EL560" s="45"/>
      <c r="EM560" s="45"/>
      <c r="EN560" s="45"/>
      <c r="EO560" s="45"/>
      <c r="EP560" s="45"/>
      <c r="EQ560" s="45"/>
      <c r="ER560" s="45"/>
      <c r="ES560" s="45"/>
      <c r="ET560" s="45"/>
      <c r="EU560" s="45"/>
      <c r="EV560" s="45"/>
      <c r="EW560" s="45"/>
      <c r="EX560" s="45"/>
      <c r="EY560" s="45"/>
      <c r="EZ560" s="45"/>
      <c r="FA560" s="45"/>
      <c r="FB560" s="45"/>
      <c r="FC560" s="45"/>
      <c r="FD560" s="45"/>
      <c r="FE560" s="45"/>
      <c r="FF560" s="45"/>
      <c r="FG560" s="45"/>
      <c r="FH560" s="45"/>
      <c r="FI560" s="45"/>
      <c r="FJ560" s="45"/>
      <c r="FK560" s="45"/>
      <c r="FL560" s="45"/>
      <c r="FM560" s="45"/>
      <c r="FN560" s="45"/>
      <c r="FO560" s="45"/>
      <c r="FP560" s="45"/>
      <c r="FQ560" s="45"/>
      <c r="FR560" s="45"/>
      <c r="FS560" s="45"/>
      <c r="FT560" s="45"/>
      <c r="FU560" s="45"/>
      <c r="FV560" s="45"/>
      <c r="FW560" s="45"/>
      <c r="FX560" s="45"/>
      <c r="FY560" s="45"/>
      <c r="FZ560" s="45"/>
      <c r="GA560" s="45"/>
      <c r="GB560" s="45"/>
      <c r="GC560" s="45"/>
      <c r="GD560" s="45"/>
      <c r="GE560" s="45"/>
      <c r="GF560" s="45"/>
      <c r="GG560" s="45"/>
      <c r="GH560" s="45"/>
      <c r="GI560" s="45"/>
      <c r="GJ560" s="45"/>
      <c r="GK560" s="45"/>
      <c r="GL560" s="45"/>
      <c r="GM560" s="45"/>
      <c r="GN560" s="45"/>
      <c r="GO560" s="45"/>
      <c r="GP560" s="45"/>
      <c r="GQ560" s="45"/>
      <c r="GR560" s="45"/>
      <c r="GS560" s="45"/>
      <c r="GT560" s="45"/>
      <c r="GU560" s="45"/>
      <c r="GV560" s="45"/>
      <c r="GW560" s="45"/>
      <c r="GX560" s="45"/>
      <c r="GY560" s="45"/>
      <c r="GZ560" s="45"/>
      <c r="HA560" s="45"/>
      <c r="HB560" s="45"/>
      <c r="HC560" s="45"/>
      <c r="HD560" s="45"/>
      <c r="HE560" s="45"/>
      <c r="HF560" s="45"/>
      <c r="HG560" s="45"/>
      <c r="HH560" s="45"/>
      <c r="HI560" s="45"/>
      <c r="HJ560" s="45"/>
      <c r="HK560" s="45"/>
      <c r="HL560" s="45"/>
      <c r="HM560" s="45"/>
      <c r="HN560" s="45"/>
      <c r="HO560" s="45"/>
      <c r="HP560" s="45"/>
      <c r="HQ560" s="45"/>
      <c r="HR560" s="45"/>
      <c r="HS560" s="45"/>
      <c r="HT560" s="45"/>
      <c r="HU560" s="45"/>
      <c r="HV560" s="45"/>
      <c r="HW560" s="45"/>
      <c r="HX560" s="45"/>
      <c r="HY560" s="45"/>
    </row>
    <row r="561" spans="1:233" s="46" customFormat="1" ht="15" customHeight="1">
      <c r="A561" s="73" t="s">
        <v>44</v>
      </c>
      <c r="B561" s="26" t="s">
        <v>10</v>
      </c>
      <c r="C561" s="26" t="s">
        <v>13</v>
      </c>
      <c r="D561" s="26" t="s">
        <v>610</v>
      </c>
      <c r="E561" s="26" t="s">
        <v>67</v>
      </c>
      <c r="F561" s="26" t="s">
        <v>44</v>
      </c>
      <c r="G561" s="26" t="s">
        <v>198</v>
      </c>
      <c r="H561" s="26" t="s">
        <v>22</v>
      </c>
      <c r="I561" s="26" t="s">
        <v>641</v>
      </c>
      <c r="J561" s="26" t="s">
        <v>11</v>
      </c>
      <c r="K561" s="27" t="s">
        <v>142</v>
      </c>
      <c r="L561" s="26">
        <f>SUM(L562:L568)</f>
        <v>1815</v>
      </c>
      <c r="M561" s="26">
        <f t="shared" ref="M561" si="135">SUM(M562:M568)</f>
        <v>1063</v>
      </c>
      <c r="N561" s="82">
        <f>M561*100/L561</f>
        <v>58.567493112947659</v>
      </c>
      <c r="O561" s="26">
        <f t="shared" ref="O561" si="136">SUM(O562:O568)</f>
        <v>1589</v>
      </c>
      <c r="P561" s="26">
        <f t="shared" ref="P561" si="137">SUM(P562:P568)</f>
        <v>343</v>
      </c>
      <c r="Q561" s="82">
        <f>P561*100/O561</f>
        <v>21.58590308370044</v>
      </c>
      <c r="R561" s="31">
        <v>28</v>
      </c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  <c r="BP561" s="45"/>
      <c r="BQ561" s="45"/>
      <c r="BR561" s="45"/>
      <c r="BS561" s="45"/>
      <c r="BT561" s="45"/>
      <c r="BU561" s="45"/>
      <c r="BV561" s="45"/>
      <c r="BW561" s="45"/>
      <c r="BX561" s="45"/>
      <c r="BY561" s="45"/>
      <c r="BZ561" s="45"/>
      <c r="CA561" s="45"/>
      <c r="CB561" s="45"/>
      <c r="CC561" s="45"/>
      <c r="CD561" s="45"/>
      <c r="CE561" s="45"/>
      <c r="CF561" s="45"/>
      <c r="CG561" s="45"/>
      <c r="CH561" s="45"/>
      <c r="CI561" s="45"/>
      <c r="CJ561" s="45"/>
      <c r="CK561" s="45"/>
      <c r="CL561" s="45"/>
      <c r="CM561" s="45"/>
      <c r="CN561" s="45"/>
      <c r="CO561" s="45"/>
      <c r="CP561" s="45"/>
      <c r="CQ561" s="45"/>
      <c r="CR561" s="45"/>
      <c r="CS561" s="45"/>
      <c r="CT561" s="45"/>
      <c r="CU561" s="45"/>
      <c r="CV561" s="45"/>
      <c r="CW561" s="45"/>
      <c r="CX561" s="45"/>
      <c r="CY561" s="45"/>
      <c r="CZ561" s="45"/>
      <c r="DA561" s="45"/>
      <c r="DB561" s="45"/>
      <c r="DC561" s="45"/>
      <c r="DD561" s="45"/>
      <c r="DE561" s="45"/>
      <c r="DF561" s="45"/>
      <c r="DG561" s="45"/>
      <c r="DH561" s="45"/>
      <c r="DI561" s="45"/>
      <c r="DJ561" s="45"/>
      <c r="DK561" s="45"/>
      <c r="DL561" s="45"/>
      <c r="DM561" s="45"/>
      <c r="DN561" s="45"/>
      <c r="DO561" s="45"/>
      <c r="DP561" s="45"/>
      <c r="DQ561" s="45"/>
      <c r="DR561" s="45"/>
      <c r="DS561" s="45"/>
      <c r="DT561" s="45"/>
      <c r="DU561" s="45"/>
      <c r="DV561" s="45"/>
      <c r="DW561" s="45"/>
      <c r="DX561" s="45"/>
      <c r="DY561" s="45"/>
      <c r="DZ561" s="45"/>
      <c r="EA561" s="45"/>
      <c r="EB561" s="45"/>
      <c r="EC561" s="45"/>
      <c r="ED561" s="45"/>
      <c r="EE561" s="45"/>
      <c r="EF561" s="45"/>
      <c r="EG561" s="45"/>
      <c r="EH561" s="45"/>
      <c r="EI561" s="45"/>
      <c r="EJ561" s="45"/>
      <c r="EK561" s="45"/>
      <c r="EL561" s="45"/>
      <c r="EM561" s="45"/>
      <c r="EN561" s="45"/>
      <c r="EO561" s="45"/>
      <c r="EP561" s="45"/>
      <c r="EQ561" s="45"/>
      <c r="ER561" s="45"/>
      <c r="ES561" s="45"/>
      <c r="ET561" s="45"/>
      <c r="EU561" s="45"/>
      <c r="EV561" s="45"/>
      <c r="EW561" s="45"/>
      <c r="EX561" s="45"/>
      <c r="EY561" s="45"/>
      <c r="EZ561" s="45"/>
      <c r="FA561" s="45"/>
      <c r="FB561" s="45"/>
      <c r="FC561" s="45"/>
      <c r="FD561" s="45"/>
      <c r="FE561" s="45"/>
      <c r="FF561" s="45"/>
      <c r="FG561" s="45"/>
      <c r="FH561" s="45"/>
      <c r="FI561" s="45"/>
      <c r="FJ561" s="45"/>
      <c r="FK561" s="45"/>
      <c r="FL561" s="45"/>
      <c r="FM561" s="45"/>
      <c r="FN561" s="45"/>
      <c r="FO561" s="45"/>
      <c r="FP561" s="45"/>
      <c r="FQ561" s="45"/>
      <c r="FR561" s="45"/>
      <c r="FS561" s="45"/>
      <c r="FT561" s="45"/>
      <c r="FU561" s="45"/>
      <c r="FV561" s="45"/>
      <c r="FW561" s="45"/>
      <c r="FX561" s="45"/>
      <c r="FY561" s="45"/>
      <c r="FZ561" s="45"/>
      <c r="GA561" s="45"/>
      <c r="GB561" s="45"/>
      <c r="GC561" s="45"/>
      <c r="GD561" s="45"/>
      <c r="GE561" s="45"/>
      <c r="GF561" s="45"/>
      <c r="GG561" s="45"/>
      <c r="GH561" s="45"/>
      <c r="GI561" s="45"/>
      <c r="GJ561" s="45"/>
      <c r="GK561" s="45"/>
      <c r="GL561" s="45"/>
      <c r="GM561" s="45"/>
      <c r="GN561" s="45"/>
      <c r="GO561" s="45"/>
      <c r="GP561" s="45"/>
      <c r="GQ561" s="45"/>
      <c r="GR561" s="45"/>
      <c r="GS561" s="45"/>
      <c r="GT561" s="45"/>
      <c r="GU561" s="45"/>
      <c r="GV561" s="45"/>
      <c r="GW561" s="45"/>
      <c r="GX561" s="45"/>
      <c r="GY561" s="45"/>
      <c r="GZ561" s="45"/>
      <c r="HA561" s="45"/>
      <c r="HB561" s="45"/>
      <c r="HC561" s="45"/>
      <c r="HD561" s="45"/>
      <c r="HE561" s="45"/>
      <c r="HF561" s="45"/>
      <c r="HG561" s="45"/>
      <c r="HH561" s="45"/>
      <c r="HI561" s="45"/>
      <c r="HJ561" s="45"/>
      <c r="HK561" s="45"/>
      <c r="HL561" s="45"/>
      <c r="HM561" s="45"/>
      <c r="HN561" s="45"/>
      <c r="HO561" s="45"/>
      <c r="HP561" s="45"/>
      <c r="HQ561" s="45"/>
      <c r="HR561" s="45"/>
      <c r="HS561" s="45"/>
      <c r="HT561" s="45"/>
      <c r="HU561" s="45"/>
      <c r="HV561" s="45"/>
      <c r="HW561" s="45"/>
      <c r="HX561" s="45"/>
      <c r="HY561" s="45"/>
    </row>
    <row r="562" spans="1:233" s="46" customFormat="1" ht="15" customHeight="1">
      <c r="A562" s="73" t="s">
        <v>44</v>
      </c>
      <c r="B562" s="26" t="s">
        <v>10</v>
      </c>
      <c r="C562" s="26" t="s">
        <v>13</v>
      </c>
      <c r="D562" s="26" t="s">
        <v>610</v>
      </c>
      <c r="E562" s="26" t="s">
        <v>67</v>
      </c>
      <c r="F562" s="26" t="s">
        <v>44</v>
      </c>
      <c r="G562" s="26" t="s">
        <v>198</v>
      </c>
      <c r="H562" s="26" t="s">
        <v>22</v>
      </c>
      <c r="I562" s="26" t="s">
        <v>641</v>
      </c>
      <c r="J562" s="26" t="s">
        <v>11</v>
      </c>
      <c r="K562" s="27" t="s">
        <v>24</v>
      </c>
      <c r="L562" s="26">
        <v>379</v>
      </c>
      <c r="M562" s="28">
        <v>150</v>
      </c>
      <c r="N562" s="82">
        <f>M562*100/L562</f>
        <v>39.577836411609496</v>
      </c>
      <c r="O562" s="28">
        <v>160</v>
      </c>
      <c r="P562" s="28">
        <v>6</v>
      </c>
      <c r="Q562" s="82">
        <f>P562*100/O562</f>
        <v>3.75</v>
      </c>
      <c r="R562" s="31">
        <v>28</v>
      </c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  <c r="BP562" s="45"/>
      <c r="BQ562" s="45"/>
      <c r="BR562" s="45"/>
      <c r="BS562" s="45"/>
      <c r="BT562" s="45"/>
      <c r="BU562" s="45"/>
      <c r="BV562" s="45"/>
      <c r="BW562" s="45"/>
      <c r="BX562" s="45"/>
      <c r="BY562" s="45"/>
      <c r="BZ562" s="45"/>
      <c r="CA562" s="45"/>
      <c r="CB562" s="45"/>
      <c r="CC562" s="45"/>
      <c r="CD562" s="45"/>
      <c r="CE562" s="45"/>
      <c r="CF562" s="45"/>
      <c r="CG562" s="45"/>
      <c r="CH562" s="45"/>
      <c r="CI562" s="45"/>
      <c r="CJ562" s="45"/>
      <c r="CK562" s="45"/>
      <c r="CL562" s="45"/>
      <c r="CM562" s="45"/>
      <c r="CN562" s="45"/>
      <c r="CO562" s="45"/>
      <c r="CP562" s="45"/>
      <c r="CQ562" s="45"/>
      <c r="CR562" s="45"/>
      <c r="CS562" s="45"/>
      <c r="CT562" s="45"/>
      <c r="CU562" s="45"/>
      <c r="CV562" s="45"/>
      <c r="CW562" s="45"/>
      <c r="CX562" s="45"/>
      <c r="CY562" s="45"/>
      <c r="CZ562" s="45"/>
      <c r="DA562" s="45"/>
      <c r="DB562" s="45"/>
      <c r="DC562" s="45"/>
      <c r="DD562" s="45"/>
      <c r="DE562" s="45"/>
      <c r="DF562" s="45"/>
      <c r="DG562" s="45"/>
      <c r="DH562" s="45"/>
      <c r="DI562" s="45"/>
      <c r="DJ562" s="45"/>
      <c r="DK562" s="45"/>
      <c r="DL562" s="45"/>
      <c r="DM562" s="45"/>
      <c r="DN562" s="45"/>
      <c r="DO562" s="45"/>
      <c r="DP562" s="45"/>
      <c r="DQ562" s="45"/>
      <c r="DR562" s="45"/>
      <c r="DS562" s="45"/>
      <c r="DT562" s="45"/>
      <c r="DU562" s="45"/>
      <c r="DV562" s="45"/>
      <c r="DW562" s="45"/>
      <c r="DX562" s="45"/>
      <c r="DY562" s="45"/>
      <c r="DZ562" s="45"/>
      <c r="EA562" s="45"/>
      <c r="EB562" s="45"/>
      <c r="EC562" s="45"/>
      <c r="ED562" s="45"/>
      <c r="EE562" s="45"/>
      <c r="EF562" s="45"/>
      <c r="EG562" s="45"/>
      <c r="EH562" s="45"/>
      <c r="EI562" s="45"/>
      <c r="EJ562" s="45"/>
      <c r="EK562" s="45"/>
      <c r="EL562" s="45"/>
      <c r="EM562" s="45"/>
      <c r="EN562" s="45"/>
      <c r="EO562" s="45"/>
      <c r="EP562" s="45"/>
      <c r="EQ562" s="45"/>
      <c r="ER562" s="45"/>
      <c r="ES562" s="45"/>
      <c r="ET562" s="45"/>
      <c r="EU562" s="45"/>
      <c r="EV562" s="45"/>
      <c r="EW562" s="45"/>
      <c r="EX562" s="45"/>
      <c r="EY562" s="45"/>
      <c r="EZ562" s="45"/>
      <c r="FA562" s="45"/>
      <c r="FB562" s="45"/>
      <c r="FC562" s="45"/>
      <c r="FD562" s="45"/>
      <c r="FE562" s="45"/>
      <c r="FF562" s="45"/>
      <c r="FG562" s="45"/>
      <c r="FH562" s="45"/>
      <c r="FI562" s="45"/>
      <c r="FJ562" s="45"/>
      <c r="FK562" s="45"/>
      <c r="FL562" s="45"/>
      <c r="FM562" s="45"/>
      <c r="FN562" s="45"/>
      <c r="FO562" s="45"/>
      <c r="FP562" s="45"/>
      <c r="FQ562" s="45"/>
      <c r="FR562" s="45"/>
      <c r="FS562" s="45"/>
      <c r="FT562" s="45"/>
      <c r="FU562" s="45"/>
      <c r="FV562" s="45"/>
      <c r="FW562" s="45"/>
      <c r="FX562" s="45"/>
      <c r="FY562" s="45"/>
      <c r="FZ562" s="45"/>
      <c r="GA562" s="45"/>
      <c r="GB562" s="45"/>
      <c r="GC562" s="45"/>
      <c r="GD562" s="45"/>
      <c r="GE562" s="45"/>
      <c r="GF562" s="45"/>
      <c r="GG562" s="45"/>
      <c r="GH562" s="45"/>
      <c r="GI562" s="45"/>
      <c r="GJ562" s="45"/>
      <c r="GK562" s="45"/>
      <c r="GL562" s="45"/>
      <c r="GM562" s="45"/>
      <c r="GN562" s="45"/>
      <c r="GO562" s="45"/>
      <c r="GP562" s="45"/>
      <c r="GQ562" s="45"/>
      <c r="GR562" s="45"/>
      <c r="GS562" s="45"/>
      <c r="GT562" s="45"/>
      <c r="GU562" s="45"/>
      <c r="GV562" s="45"/>
      <c r="GW562" s="45"/>
      <c r="GX562" s="45"/>
      <c r="GY562" s="45"/>
      <c r="GZ562" s="45"/>
      <c r="HA562" s="45"/>
      <c r="HB562" s="45"/>
      <c r="HC562" s="45"/>
      <c r="HD562" s="45"/>
      <c r="HE562" s="45"/>
      <c r="HF562" s="45"/>
      <c r="HG562" s="45"/>
      <c r="HH562" s="45"/>
      <c r="HI562" s="45"/>
      <c r="HJ562" s="45"/>
      <c r="HK562" s="45"/>
      <c r="HL562" s="45"/>
      <c r="HM562" s="45"/>
      <c r="HN562" s="45"/>
      <c r="HO562" s="45"/>
      <c r="HP562" s="45"/>
      <c r="HQ562" s="45"/>
      <c r="HR562" s="45"/>
      <c r="HS562" s="45"/>
      <c r="HT562" s="45"/>
      <c r="HU562" s="45"/>
      <c r="HV562" s="45"/>
      <c r="HW562" s="45"/>
      <c r="HX562" s="45"/>
      <c r="HY562" s="45"/>
    </row>
    <row r="563" spans="1:233" s="46" customFormat="1" ht="15" customHeight="1">
      <c r="A563" s="73" t="s">
        <v>44</v>
      </c>
      <c r="B563" s="26" t="s">
        <v>10</v>
      </c>
      <c r="C563" s="26" t="s">
        <v>13</v>
      </c>
      <c r="D563" s="26" t="s">
        <v>610</v>
      </c>
      <c r="E563" s="26" t="s">
        <v>67</v>
      </c>
      <c r="F563" s="26" t="s">
        <v>44</v>
      </c>
      <c r="G563" s="26" t="s">
        <v>198</v>
      </c>
      <c r="H563" s="26" t="s">
        <v>22</v>
      </c>
      <c r="I563" s="26" t="s">
        <v>641</v>
      </c>
      <c r="J563" s="26" t="s">
        <v>11</v>
      </c>
      <c r="K563" s="27" t="s">
        <v>25</v>
      </c>
      <c r="L563" s="26">
        <v>230</v>
      </c>
      <c r="M563" s="28">
        <v>107</v>
      </c>
      <c r="N563" s="82">
        <f t="shared" ref="N563:N568" si="138">M563*100/L563</f>
        <v>46.521739130434781</v>
      </c>
      <c r="O563" s="28">
        <v>228</v>
      </c>
      <c r="P563" s="28">
        <v>20</v>
      </c>
      <c r="Q563" s="82">
        <f t="shared" ref="Q563:Q568" si="139">P563*100/O563</f>
        <v>8.7719298245614041</v>
      </c>
      <c r="R563" s="31">
        <v>28</v>
      </c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  <c r="BP563" s="45"/>
      <c r="BQ563" s="45"/>
      <c r="BR563" s="45"/>
      <c r="BS563" s="45"/>
      <c r="BT563" s="45"/>
      <c r="BU563" s="45"/>
      <c r="BV563" s="45"/>
      <c r="BW563" s="45"/>
      <c r="BX563" s="45"/>
      <c r="BY563" s="45"/>
      <c r="BZ563" s="45"/>
      <c r="CA563" s="45"/>
      <c r="CB563" s="45"/>
      <c r="CC563" s="45"/>
      <c r="CD563" s="45"/>
      <c r="CE563" s="45"/>
      <c r="CF563" s="45"/>
      <c r="CG563" s="45"/>
      <c r="CH563" s="45"/>
      <c r="CI563" s="45"/>
      <c r="CJ563" s="45"/>
      <c r="CK563" s="45"/>
      <c r="CL563" s="45"/>
      <c r="CM563" s="45"/>
      <c r="CN563" s="45"/>
      <c r="CO563" s="45"/>
      <c r="CP563" s="45"/>
      <c r="CQ563" s="45"/>
      <c r="CR563" s="45"/>
      <c r="CS563" s="45"/>
      <c r="CT563" s="45"/>
      <c r="CU563" s="45"/>
      <c r="CV563" s="45"/>
      <c r="CW563" s="45"/>
      <c r="CX563" s="45"/>
      <c r="CY563" s="45"/>
      <c r="CZ563" s="45"/>
      <c r="DA563" s="45"/>
      <c r="DB563" s="45"/>
      <c r="DC563" s="45"/>
      <c r="DD563" s="45"/>
      <c r="DE563" s="45"/>
      <c r="DF563" s="45"/>
      <c r="DG563" s="45"/>
      <c r="DH563" s="45"/>
      <c r="DI563" s="45"/>
      <c r="DJ563" s="45"/>
      <c r="DK563" s="45"/>
      <c r="DL563" s="45"/>
      <c r="DM563" s="45"/>
      <c r="DN563" s="45"/>
      <c r="DO563" s="45"/>
      <c r="DP563" s="45"/>
      <c r="DQ563" s="45"/>
      <c r="DR563" s="45"/>
      <c r="DS563" s="45"/>
      <c r="DT563" s="45"/>
      <c r="DU563" s="45"/>
      <c r="DV563" s="45"/>
      <c r="DW563" s="45"/>
      <c r="DX563" s="45"/>
      <c r="DY563" s="45"/>
      <c r="DZ563" s="45"/>
      <c r="EA563" s="45"/>
      <c r="EB563" s="45"/>
      <c r="EC563" s="45"/>
      <c r="ED563" s="45"/>
      <c r="EE563" s="45"/>
      <c r="EF563" s="45"/>
      <c r="EG563" s="45"/>
      <c r="EH563" s="45"/>
      <c r="EI563" s="45"/>
      <c r="EJ563" s="45"/>
      <c r="EK563" s="45"/>
      <c r="EL563" s="45"/>
      <c r="EM563" s="45"/>
      <c r="EN563" s="45"/>
      <c r="EO563" s="45"/>
      <c r="EP563" s="45"/>
      <c r="EQ563" s="45"/>
      <c r="ER563" s="45"/>
      <c r="ES563" s="45"/>
      <c r="ET563" s="45"/>
      <c r="EU563" s="45"/>
      <c r="EV563" s="45"/>
      <c r="EW563" s="45"/>
      <c r="EX563" s="45"/>
      <c r="EY563" s="45"/>
      <c r="EZ563" s="45"/>
      <c r="FA563" s="45"/>
      <c r="FB563" s="45"/>
      <c r="FC563" s="45"/>
      <c r="FD563" s="45"/>
      <c r="FE563" s="45"/>
      <c r="FF563" s="45"/>
      <c r="FG563" s="45"/>
      <c r="FH563" s="45"/>
      <c r="FI563" s="45"/>
      <c r="FJ563" s="45"/>
      <c r="FK563" s="45"/>
      <c r="FL563" s="45"/>
      <c r="FM563" s="45"/>
      <c r="FN563" s="45"/>
      <c r="FO563" s="45"/>
      <c r="FP563" s="45"/>
      <c r="FQ563" s="45"/>
      <c r="FR563" s="45"/>
      <c r="FS563" s="45"/>
      <c r="FT563" s="45"/>
      <c r="FU563" s="45"/>
      <c r="FV563" s="45"/>
      <c r="FW563" s="45"/>
      <c r="FX563" s="45"/>
      <c r="FY563" s="45"/>
      <c r="FZ563" s="45"/>
      <c r="GA563" s="45"/>
      <c r="GB563" s="45"/>
      <c r="GC563" s="45"/>
      <c r="GD563" s="45"/>
      <c r="GE563" s="45"/>
      <c r="GF563" s="45"/>
      <c r="GG563" s="45"/>
      <c r="GH563" s="45"/>
      <c r="GI563" s="45"/>
      <c r="GJ563" s="45"/>
      <c r="GK563" s="45"/>
      <c r="GL563" s="45"/>
      <c r="GM563" s="45"/>
      <c r="GN563" s="45"/>
      <c r="GO563" s="45"/>
      <c r="GP563" s="45"/>
      <c r="GQ563" s="45"/>
      <c r="GR563" s="45"/>
      <c r="GS563" s="45"/>
      <c r="GT563" s="45"/>
      <c r="GU563" s="45"/>
      <c r="GV563" s="45"/>
      <c r="GW563" s="45"/>
      <c r="GX563" s="45"/>
      <c r="GY563" s="45"/>
      <c r="GZ563" s="45"/>
      <c r="HA563" s="45"/>
      <c r="HB563" s="45"/>
      <c r="HC563" s="45"/>
      <c r="HD563" s="45"/>
      <c r="HE563" s="45"/>
      <c r="HF563" s="45"/>
      <c r="HG563" s="45"/>
      <c r="HH563" s="45"/>
      <c r="HI563" s="45"/>
      <c r="HJ563" s="45"/>
      <c r="HK563" s="45"/>
      <c r="HL563" s="45"/>
      <c r="HM563" s="45"/>
      <c r="HN563" s="45"/>
      <c r="HO563" s="45"/>
      <c r="HP563" s="45"/>
      <c r="HQ563" s="45"/>
      <c r="HR563" s="45"/>
      <c r="HS563" s="45"/>
      <c r="HT563" s="45"/>
      <c r="HU563" s="45"/>
      <c r="HV563" s="45"/>
      <c r="HW563" s="45"/>
      <c r="HX563" s="45"/>
      <c r="HY563" s="45"/>
    </row>
    <row r="564" spans="1:233" s="46" customFormat="1" ht="15" customHeight="1">
      <c r="A564" s="73" t="s">
        <v>44</v>
      </c>
      <c r="B564" s="26" t="s">
        <v>10</v>
      </c>
      <c r="C564" s="26" t="s">
        <v>13</v>
      </c>
      <c r="D564" s="26" t="s">
        <v>610</v>
      </c>
      <c r="E564" s="26" t="s">
        <v>67</v>
      </c>
      <c r="F564" s="26" t="s">
        <v>44</v>
      </c>
      <c r="G564" s="26" t="s">
        <v>198</v>
      </c>
      <c r="H564" s="26" t="s">
        <v>22</v>
      </c>
      <c r="I564" s="26" t="s">
        <v>641</v>
      </c>
      <c r="J564" s="26" t="s">
        <v>11</v>
      </c>
      <c r="K564" s="27" t="s">
        <v>26</v>
      </c>
      <c r="L564" s="26">
        <v>211</v>
      </c>
      <c r="M564" s="28">
        <v>120</v>
      </c>
      <c r="N564" s="82">
        <f t="shared" si="138"/>
        <v>56.872037914691944</v>
      </c>
      <c r="O564" s="28">
        <v>208</v>
      </c>
      <c r="P564" s="28">
        <v>37</v>
      </c>
      <c r="Q564" s="82">
        <f t="shared" si="139"/>
        <v>17.78846153846154</v>
      </c>
      <c r="R564" s="31">
        <v>28</v>
      </c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  <c r="BP564" s="45"/>
      <c r="BQ564" s="45"/>
      <c r="BR564" s="45"/>
      <c r="BS564" s="45"/>
      <c r="BT564" s="45"/>
      <c r="BU564" s="45"/>
      <c r="BV564" s="45"/>
      <c r="BW564" s="45"/>
      <c r="BX564" s="45"/>
      <c r="BY564" s="45"/>
      <c r="BZ564" s="45"/>
      <c r="CA564" s="45"/>
      <c r="CB564" s="45"/>
      <c r="CC564" s="45"/>
      <c r="CD564" s="45"/>
      <c r="CE564" s="45"/>
      <c r="CF564" s="45"/>
      <c r="CG564" s="45"/>
      <c r="CH564" s="45"/>
      <c r="CI564" s="45"/>
      <c r="CJ564" s="45"/>
      <c r="CK564" s="45"/>
      <c r="CL564" s="45"/>
      <c r="CM564" s="45"/>
      <c r="CN564" s="45"/>
      <c r="CO564" s="45"/>
      <c r="CP564" s="45"/>
      <c r="CQ564" s="45"/>
      <c r="CR564" s="45"/>
      <c r="CS564" s="45"/>
      <c r="CT564" s="45"/>
      <c r="CU564" s="45"/>
      <c r="CV564" s="45"/>
      <c r="CW564" s="45"/>
      <c r="CX564" s="45"/>
      <c r="CY564" s="45"/>
      <c r="CZ564" s="45"/>
      <c r="DA564" s="45"/>
      <c r="DB564" s="45"/>
      <c r="DC564" s="45"/>
      <c r="DD564" s="45"/>
      <c r="DE564" s="45"/>
      <c r="DF564" s="45"/>
      <c r="DG564" s="45"/>
      <c r="DH564" s="45"/>
      <c r="DI564" s="45"/>
      <c r="DJ564" s="45"/>
      <c r="DK564" s="45"/>
      <c r="DL564" s="45"/>
      <c r="DM564" s="45"/>
      <c r="DN564" s="45"/>
      <c r="DO564" s="45"/>
      <c r="DP564" s="45"/>
      <c r="DQ564" s="45"/>
      <c r="DR564" s="45"/>
      <c r="DS564" s="45"/>
      <c r="DT564" s="45"/>
      <c r="DU564" s="45"/>
      <c r="DV564" s="45"/>
      <c r="DW564" s="45"/>
      <c r="DX564" s="45"/>
      <c r="DY564" s="45"/>
      <c r="DZ564" s="45"/>
      <c r="EA564" s="45"/>
      <c r="EB564" s="45"/>
      <c r="EC564" s="45"/>
      <c r="ED564" s="45"/>
      <c r="EE564" s="45"/>
      <c r="EF564" s="45"/>
      <c r="EG564" s="45"/>
      <c r="EH564" s="45"/>
      <c r="EI564" s="45"/>
      <c r="EJ564" s="45"/>
      <c r="EK564" s="45"/>
      <c r="EL564" s="45"/>
      <c r="EM564" s="45"/>
      <c r="EN564" s="45"/>
      <c r="EO564" s="45"/>
      <c r="EP564" s="45"/>
      <c r="EQ564" s="45"/>
      <c r="ER564" s="45"/>
      <c r="ES564" s="45"/>
      <c r="ET564" s="45"/>
      <c r="EU564" s="45"/>
      <c r="EV564" s="45"/>
      <c r="EW564" s="45"/>
      <c r="EX564" s="45"/>
      <c r="EY564" s="45"/>
      <c r="EZ564" s="45"/>
      <c r="FA564" s="45"/>
      <c r="FB564" s="45"/>
      <c r="FC564" s="45"/>
      <c r="FD564" s="45"/>
      <c r="FE564" s="45"/>
      <c r="FF564" s="45"/>
      <c r="FG564" s="45"/>
      <c r="FH564" s="45"/>
      <c r="FI564" s="45"/>
      <c r="FJ564" s="45"/>
      <c r="FK564" s="45"/>
      <c r="FL564" s="45"/>
      <c r="FM564" s="45"/>
      <c r="FN564" s="45"/>
      <c r="FO564" s="45"/>
      <c r="FP564" s="45"/>
      <c r="FQ564" s="45"/>
      <c r="FR564" s="45"/>
      <c r="FS564" s="45"/>
      <c r="FT564" s="45"/>
      <c r="FU564" s="45"/>
      <c r="FV564" s="45"/>
      <c r="FW564" s="45"/>
      <c r="FX564" s="45"/>
      <c r="FY564" s="45"/>
      <c r="FZ564" s="45"/>
      <c r="GA564" s="45"/>
      <c r="GB564" s="45"/>
      <c r="GC564" s="45"/>
      <c r="GD564" s="45"/>
      <c r="GE564" s="45"/>
      <c r="GF564" s="45"/>
      <c r="GG564" s="45"/>
      <c r="GH564" s="45"/>
      <c r="GI564" s="45"/>
      <c r="GJ564" s="45"/>
      <c r="GK564" s="45"/>
      <c r="GL564" s="45"/>
      <c r="GM564" s="45"/>
      <c r="GN564" s="45"/>
      <c r="GO564" s="45"/>
      <c r="GP564" s="45"/>
      <c r="GQ564" s="45"/>
      <c r="GR564" s="45"/>
      <c r="GS564" s="45"/>
      <c r="GT564" s="45"/>
      <c r="GU564" s="45"/>
      <c r="GV564" s="45"/>
      <c r="GW564" s="45"/>
      <c r="GX564" s="45"/>
      <c r="GY564" s="45"/>
      <c r="GZ564" s="45"/>
      <c r="HA564" s="45"/>
      <c r="HB564" s="45"/>
      <c r="HC564" s="45"/>
      <c r="HD564" s="45"/>
      <c r="HE564" s="45"/>
      <c r="HF564" s="45"/>
      <c r="HG564" s="45"/>
      <c r="HH564" s="45"/>
      <c r="HI564" s="45"/>
      <c r="HJ564" s="45"/>
      <c r="HK564" s="45"/>
      <c r="HL564" s="45"/>
      <c r="HM564" s="45"/>
      <c r="HN564" s="45"/>
      <c r="HO564" s="45"/>
      <c r="HP564" s="45"/>
      <c r="HQ564" s="45"/>
      <c r="HR564" s="45"/>
      <c r="HS564" s="45"/>
      <c r="HT564" s="45"/>
      <c r="HU564" s="45"/>
      <c r="HV564" s="45"/>
      <c r="HW564" s="45"/>
      <c r="HX564" s="45"/>
      <c r="HY564" s="45"/>
    </row>
    <row r="565" spans="1:233" s="46" customFormat="1" ht="15" customHeight="1">
      <c r="A565" s="73" t="s">
        <v>44</v>
      </c>
      <c r="B565" s="26" t="s">
        <v>10</v>
      </c>
      <c r="C565" s="26" t="s">
        <v>13</v>
      </c>
      <c r="D565" s="26" t="s">
        <v>610</v>
      </c>
      <c r="E565" s="26" t="s">
        <v>67</v>
      </c>
      <c r="F565" s="26" t="s">
        <v>44</v>
      </c>
      <c r="G565" s="26" t="s">
        <v>198</v>
      </c>
      <c r="H565" s="26" t="s">
        <v>22</v>
      </c>
      <c r="I565" s="26" t="s">
        <v>641</v>
      </c>
      <c r="J565" s="26" t="s">
        <v>11</v>
      </c>
      <c r="K565" s="27" t="s">
        <v>27</v>
      </c>
      <c r="L565" s="26">
        <v>238</v>
      </c>
      <c r="M565" s="28">
        <v>141</v>
      </c>
      <c r="N565" s="82">
        <f t="shared" si="138"/>
        <v>59.243697478991599</v>
      </c>
      <c r="O565" s="28">
        <v>238</v>
      </c>
      <c r="P565" s="28">
        <v>54</v>
      </c>
      <c r="Q565" s="82">
        <f t="shared" si="139"/>
        <v>22.689075630252102</v>
      </c>
      <c r="R565" s="31">
        <v>28</v>
      </c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  <c r="BP565" s="45"/>
      <c r="BQ565" s="45"/>
      <c r="BR565" s="45"/>
      <c r="BS565" s="45"/>
      <c r="BT565" s="45"/>
      <c r="BU565" s="45"/>
      <c r="BV565" s="45"/>
      <c r="BW565" s="45"/>
      <c r="BX565" s="45"/>
      <c r="BY565" s="45"/>
      <c r="BZ565" s="45"/>
      <c r="CA565" s="45"/>
      <c r="CB565" s="45"/>
      <c r="CC565" s="45"/>
      <c r="CD565" s="45"/>
      <c r="CE565" s="45"/>
      <c r="CF565" s="45"/>
      <c r="CG565" s="45"/>
      <c r="CH565" s="45"/>
      <c r="CI565" s="45"/>
      <c r="CJ565" s="45"/>
      <c r="CK565" s="45"/>
      <c r="CL565" s="45"/>
      <c r="CM565" s="45"/>
      <c r="CN565" s="45"/>
      <c r="CO565" s="45"/>
      <c r="CP565" s="45"/>
      <c r="CQ565" s="45"/>
      <c r="CR565" s="45"/>
      <c r="CS565" s="45"/>
      <c r="CT565" s="45"/>
      <c r="CU565" s="45"/>
      <c r="CV565" s="45"/>
      <c r="CW565" s="45"/>
      <c r="CX565" s="45"/>
      <c r="CY565" s="45"/>
      <c r="CZ565" s="45"/>
      <c r="DA565" s="45"/>
      <c r="DB565" s="45"/>
      <c r="DC565" s="45"/>
      <c r="DD565" s="45"/>
      <c r="DE565" s="45"/>
      <c r="DF565" s="45"/>
      <c r="DG565" s="45"/>
      <c r="DH565" s="45"/>
      <c r="DI565" s="45"/>
      <c r="DJ565" s="45"/>
      <c r="DK565" s="45"/>
      <c r="DL565" s="45"/>
      <c r="DM565" s="45"/>
      <c r="DN565" s="45"/>
      <c r="DO565" s="45"/>
      <c r="DP565" s="45"/>
      <c r="DQ565" s="45"/>
      <c r="DR565" s="45"/>
      <c r="DS565" s="45"/>
      <c r="DT565" s="45"/>
      <c r="DU565" s="45"/>
      <c r="DV565" s="45"/>
      <c r="DW565" s="45"/>
      <c r="DX565" s="45"/>
      <c r="DY565" s="45"/>
      <c r="DZ565" s="45"/>
      <c r="EA565" s="45"/>
      <c r="EB565" s="45"/>
      <c r="EC565" s="45"/>
      <c r="ED565" s="45"/>
      <c r="EE565" s="45"/>
      <c r="EF565" s="45"/>
      <c r="EG565" s="45"/>
      <c r="EH565" s="45"/>
      <c r="EI565" s="45"/>
      <c r="EJ565" s="45"/>
      <c r="EK565" s="45"/>
      <c r="EL565" s="45"/>
      <c r="EM565" s="45"/>
      <c r="EN565" s="45"/>
      <c r="EO565" s="45"/>
      <c r="EP565" s="45"/>
      <c r="EQ565" s="45"/>
      <c r="ER565" s="45"/>
      <c r="ES565" s="45"/>
      <c r="ET565" s="45"/>
      <c r="EU565" s="45"/>
      <c r="EV565" s="45"/>
      <c r="EW565" s="45"/>
      <c r="EX565" s="45"/>
      <c r="EY565" s="45"/>
      <c r="EZ565" s="45"/>
      <c r="FA565" s="45"/>
      <c r="FB565" s="45"/>
      <c r="FC565" s="45"/>
      <c r="FD565" s="45"/>
      <c r="FE565" s="45"/>
      <c r="FF565" s="45"/>
      <c r="FG565" s="45"/>
      <c r="FH565" s="45"/>
      <c r="FI565" s="45"/>
      <c r="FJ565" s="45"/>
      <c r="FK565" s="45"/>
      <c r="FL565" s="45"/>
      <c r="FM565" s="45"/>
      <c r="FN565" s="45"/>
      <c r="FO565" s="45"/>
      <c r="FP565" s="45"/>
      <c r="FQ565" s="45"/>
      <c r="FR565" s="45"/>
      <c r="FS565" s="45"/>
      <c r="FT565" s="45"/>
      <c r="FU565" s="45"/>
      <c r="FV565" s="45"/>
      <c r="FW565" s="45"/>
      <c r="FX565" s="45"/>
      <c r="FY565" s="45"/>
      <c r="FZ565" s="45"/>
      <c r="GA565" s="45"/>
      <c r="GB565" s="45"/>
      <c r="GC565" s="45"/>
      <c r="GD565" s="45"/>
      <c r="GE565" s="45"/>
      <c r="GF565" s="45"/>
      <c r="GG565" s="45"/>
      <c r="GH565" s="45"/>
      <c r="GI565" s="45"/>
      <c r="GJ565" s="45"/>
      <c r="GK565" s="45"/>
      <c r="GL565" s="45"/>
      <c r="GM565" s="45"/>
      <c r="GN565" s="45"/>
      <c r="GO565" s="45"/>
      <c r="GP565" s="45"/>
      <c r="GQ565" s="45"/>
      <c r="GR565" s="45"/>
      <c r="GS565" s="45"/>
      <c r="GT565" s="45"/>
      <c r="GU565" s="45"/>
      <c r="GV565" s="45"/>
      <c r="GW565" s="45"/>
      <c r="GX565" s="45"/>
      <c r="GY565" s="45"/>
      <c r="GZ565" s="45"/>
      <c r="HA565" s="45"/>
      <c r="HB565" s="45"/>
      <c r="HC565" s="45"/>
      <c r="HD565" s="45"/>
      <c r="HE565" s="45"/>
      <c r="HF565" s="45"/>
      <c r="HG565" s="45"/>
      <c r="HH565" s="45"/>
      <c r="HI565" s="45"/>
      <c r="HJ565" s="45"/>
      <c r="HK565" s="45"/>
      <c r="HL565" s="45"/>
      <c r="HM565" s="45"/>
      <c r="HN565" s="45"/>
      <c r="HO565" s="45"/>
      <c r="HP565" s="45"/>
      <c r="HQ565" s="45"/>
      <c r="HR565" s="45"/>
      <c r="HS565" s="45"/>
      <c r="HT565" s="45"/>
      <c r="HU565" s="45"/>
      <c r="HV565" s="45"/>
      <c r="HW565" s="45"/>
      <c r="HX565" s="45"/>
      <c r="HY565" s="45"/>
    </row>
    <row r="566" spans="1:233" s="46" customFormat="1" ht="15" customHeight="1">
      <c r="A566" s="73" t="s">
        <v>44</v>
      </c>
      <c r="B566" s="26" t="s">
        <v>10</v>
      </c>
      <c r="C566" s="26" t="s">
        <v>13</v>
      </c>
      <c r="D566" s="26" t="s">
        <v>610</v>
      </c>
      <c r="E566" s="26" t="s">
        <v>67</v>
      </c>
      <c r="F566" s="26" t="s">
        <v>44</v>
      </c>
      <c r="G566" s="26" t="s">
        <v>198</v>
      </c>
      <c r="H566" s="26" t="s">
        <v>22</v>
      </c>
      <c r="I566" s="26" t="s">
        <v>641</v>
      </c>
      <c r="J566" s="26" t="s">
        <v>11</v>
      </c>
      <c r="K566" s="27" t="s">
        <v>28</v>
      </c>
      <c r="L566" s="26">
        <v>242</v>
      </c>
      <c r="M566" s="28">
        <v>177</v>
      </c>
      <c r="N566" s="82">
        <f t="shared" si="138"/>
        <v>73.140495867768593</v>
      </c>
      <c r="O566" s="28">
        <v>241</v>
      </c>
      <c r="P566" s="28">
        <v>59</v>
      </c>
      <c r="Q566" s="82">
        <f t="shared" si="139"/>
        <v>24.481327800829874</v>
      </c>
      <c r="R566" s="31">
        <v>28</v>
      </c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  <c r="BP566" s="45"/>
      <c r="BQ566" s="45"/>
      <c r="BR566" s="45"/>
      <c r="BS566" s="45"/>
      <c r="BT566" s="45"/>
      <c r="BU566" s="45"/>
      <c r="BV566" s="45"/>
      <c r="BW566" s="45"/>
      <c r="BX566" s="45"/>
      <c r="BY566" s="45"/>
      <c r="BZ566" s="45"/>
      <c r="CA566" s="45"/>
      <c r="CB566" s="45"/>
      <c r="CC566" s="45"/>
      <c r="CD566" s="45"/>
      <c r="CE566" s="45"/>
      <c r="CF566" s="45"/>
      <c r="CG566" s="45"/>
      <c r="CH566" s="45"/>
      <c r="CI566" s="45"/>
      <c r="CJ566" s="45"/>
      <c r="CK566" s="45"/>
      <c r="CL566" s="45"/>
      <c r="CM566" s="45"/>
      <c r="CN566" s="45"/>
      <c r="CO566" s="45"/>
      <c r="CP566" s="45"/>
      <c r="CQ566" s="45"/>
      <c r="CR566" s="45"/>
      <c r="CS566" s="45"/>
      <c r="CT566" s="45"/>
      <c r="CU566" s="45"/>
      <c r="CV566" s="45"/>
      <c r="CW566" s="45"/>
      <c r="CX566" s="45"/>
      <c r="CY566" s="45"/>
      <c r="CZ566" s="45"/>
      <c r="DA566" s="45"/>
      <c r="DB566" s="45"/>
      <c r="DC566" s="45"/>
      <c r="DD566" s="45"/>
      <c r="DE566" s="45"/>
      <c r="DF566" s="45"/>
      <c r="DG566" s="45"/>
      <c r="DH566" s="45"/>
      <c r="DI566" s="45"/>
      <c r="DJ566" s="45"/>
      <c r="DK566" s="45"/>
      <c r="DL566" s="45"/>
      <c r="DM566" s="45"/>
      <c r="DN566" s="45"/>
      <c r="DO566" s="45"/>
      <c r="DP566" s="45"/>
      <c r="DQ566" s="45"/>
      <c r="DR566" s="45"/>
      <c r="DS566" s="45"/>
      <c r="DT566" s="45"/>
      <c r="DU566" s="45"/>
      <c r="DV566" s="45"/>
      <c r="DW566" s="45"/>
      <c r="DX566" s="45"/>
      <c r="DY566" s="45"/>
      <c r="DZ566" s="45"/>
      <c r="EA566" s="45"/>
      <c r="EB566" s="45"/>
      <c r="EC566" s="45"/>
      <c r="ED566" s="45"/>
      <c r="EE566" s="45"/>
      <c r="EF566" s="45"/>
      <c r="EG566" s="45"/>
      <c r="EH566" s="45"/>
      <c r="EI566" s="45"/>
      <c r="EJ566" s="45"/>
      <c r="EK566" s="45"/>
      <c r="EL566" s="45"/>
      <c r="EM566" s="45"/>
      <c r="EN566" s="45"/>
      <c r="EO566" s="45"/>
      <c r="EP566" s="45"/>
      <c r="EQ566" s="45"/>
      <c r="ER566" s="45"/>
      <c r="ES566" s="45"/>
      <c r="ET566" s="45"/>
      <c r="EU566" s="45"/>
      <c r="EV566" s="45"/>
      <c r="EW566" s="45"/>
      <c r="EX566" s="45"/>
      <c r="EY566" s="45"/>
      <c r="EZ566" s="45"/>
      <c r="FA566" s="45"/>
      <c r="FB566" s="45"/>
      <c r="FC566" s="45"/>
      <c r="FD566" s="45"/>
      <c r="FE566" s="45"/>
      <c r="FF566" s="45"/>
      <c r="FG566" s="45"/>
      <c r="FH566" s="45"/>
      <c r="FI566" s="45"/>
      <c r="FJ566" s="45"/>
      <c r="FK566" s="45"/>
      <c r="FL566" s="45"/>
      <c r="FM566" s="45"/>
      <c r="FN566" s="45"/>
      <c r="FO566" s="45"/>
      <c r="FP566" s="45"/>
      <c r="FQ566" s="45"/>
      <c r="FR566" s="45"/>
      <c r="FS566" s="45"/>
      <c r="FT566" s="45"/>
      <c r="FU566" s="45"/>
      <c r="FV566" s="45"/>
      <c r="FW566" s="45"/>
      <c r="FX566" s="45"/>
      <c r="FY566" s="45"/>
      <c r="FZ566" s="45"/>
      <c r="GA566" s="45"/>
      <c r="GB566" s="45"/>
      <c r="GC566" s="45"/>
      <c r="GD566" s="45"/>
      <c r="GE566" s="45"/>
      <c r="GF566" s="45"/>
      <c r="GG566" s="45"/>
      <c r="GH566" s="45"/>
      <c r="GI566" s="45"/>
      <c r="GJ566" s="45"/>
      <c r="GK566" s="45"/>
      <c r="GL566" s="45"/>
      <c r="GM566" s="45"/>
      <c r="GN566" s="45"/>
      <c r="GO566" s="45"/>
      <c r="GP566" s="45"/>
      <c r="GQ566" s="45"/>
      <c r="GR566" s="45"/>
      <c r="GS566" s="45"/>
      <c r="GT566" s="45"/>
      <c r="GU566" s="45"/>
      <c r="GV566" s="45"/>
      <c r="GW566" s="45"/>
      <c r="GX566" s="45"/>
      <c r="GY566" s="45"/>
      <c r="GZ566" s="45"/>
      <c r="HA566" s="45"/>
      <c r="HB566" s="45"/>
      <c r="HC566" s="45"/>
      <c r="HD566" s="45"/>
      <c r="HE566" s="45"/>
      <c r="HF566" s="45"/>
      <c r="HG566" s="45"/>
      <c r="HH566" s="45"/>
      <c r="HI566" s="45"/>
      <c r="HJ566" s="45"/>
      <c r="HK566" s="45"/>
      <c r="HL566" s="45"/>
      <c r="HM566" s="45"/>
      <c r="HN566" s="45"/>
      <c r="HO566" s="45"/>
      <c r="HP566" s="45"/>
      <c r="HQ566" s="45"/>
      <c r="HR566" s="45"/>
      <c r="HS566" s="45"/>
      <c r="HT566" s="45"/>
      <c r="HU566" s="45"/>
      <c r="HV566" s="45"/>
      <c r="HW566" s="45"/>
      <c r="HX566" s="45"/>
      <c r="HY566" s="45"/>
    </row>
    <row r="567" spans="1:233" s="46" customFormat="1" ht="15" customHeight="1">
      <c r="A567" s="73" t="s">
        <v>44</v>
      </c>
      <c r="B567" s="26" t="s">
        <v>10</v>
      </c>
      <c r="C567" s="26" t="s">
        <v>13</v>
      </c>
      <c r="D567" s="26" t="s">
        <v>610</v>
      </c>
      <c r="E567" s="26" t="s">
        <v>67</v>
      </c>
      <c r="F567" s="26" t="s">
        <v>44</v>
      </c>
      <c r="G567" s="26" t="s">
        <v>198</v>
      </c>
      <c r="H567" s="26" t="s">
        <v>22</v>
      </c>
      <c r="I567" s="26" t="s">
        <v>641</v>
      </c>
      <c r="J567" s="26" t="s">
        <v>11</v>
      </c>
      <c r="K567" s="27" t="s">
        <v>72</v>
      </c>
      <c r="L567" s="26">
        <v>282</v>
      </c>
      <c r="M567" s="28">
        <v>207</v>
      </c>
      <c r="N567" s="82">
        <f t="shared" si="138"/>
        <v>73.40425531914893</v>
      </c>
      <c r="O567" s="28">
        <v>282</v>
      </c>
      <c r="P567" s="28">
        <v>88</v>
      </c>
      <c r="Q567" s="82">
        <f t="shared" si="139"/>
        <v>31.205673758865249</v>
      </c>
      <c r="R567" s="31">
        <v>28</v>
      </c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  <c r="BP567" s="45"/>
      <c r="BQ567" s="45"/>
      <c r="BR567" s="45"/>
      <c r="BS567" s="45"/>
      <c r="BT567" s="45"/>
      <c r="BU567" s="45"/>
      <c r="BV567" s="45"/>
      <c r="BW567" s="45"/>
      <c r="BX567" s="45"/>
      <c r="BY567" s="45"/>
      <c r="BZ567" s="45"/>
      <c r="CA567" s="45"/>
      <c r="CB567" s="45"/>
      <c r="CC567" s="45"/>
      <c r="CD567" s="45"/>
      <c r="CE567" s="45"/>
      <c r="CF567" s="45"/>
      <c r="CG567" s="45"/>
      <c r="CH567" s="45"/>
      <c r="CI567" s="45"/>
      <c r="CJ567" s="45"/>
      <c r="CK567" s="45"/>
      <c r="CL567" s="45"/>
      <c r="CM567" s="45"/>
      <c r="CN567" s="45"/>
      <c r="CO567" s="45"/>
      <c r="CP567" s="45"/>
      <c r="CQ567" s="45"/>
      <c r="CR567" s="45"/>
      <c r="CS567" s="45"/>
      <c r="CT567" s="45"/>
      <c r="CU567" s="45"/>
      <c r="CV567" s="45"/>
      <c r="CW567" s="45"/>
      <c r="CX567" s="45"/>
      <c r="CY567" s="45"/>
      <c r="CZ567" s="45"/>
      <c r="DA567" s="45"/>
      <c r="DB567" s="45"/>
      <c r="DC567" s="45"/>
      <c r="DD567" s="45"/>
      <c r="DE567" s="45"/>
      <c r="DF567" s="45"/>
      <c r="DG567" s="45"/>
      <c r="DH567" s="45"/>
      <c r="DI567" s="45"/>
      <c r="DJ567" s="45"/>
      <c r="DK567" s="45"/>
      <c r="DL567" s="45"/>
      <c r="DM567" s="45"/>
      <c r="DN567" s="45"/>
      <c r="DO567" s="45"/>
      <c r="DP567" s="45"/>
      <c r="DQ567" s="45"/>
      <c r="DR567" s="45"/>
      <c r="DS567" s="45"/>
      <c r="DT567" s="45"/>
      <c r="DU567" s="45"/>
      <c r="DV567" s="45"/>
      <c r="DW567" s="45"/>
      <c r="DX567" s="45"/>
      <c r="DY567" s="45"/>
      <c r="DZ567" s="45"/>
      <c r="EA567" s="45"/>
      <c r="EB567" s="45"/>
      <c r="EC567" s="45"/>
      <c r="ED567" s="45"/>
      <c r="EE567" s="45"/>
      <c r="EF567" s="45"/>
      <c r="EG567" s="45"/>
      <c r="EH567" s="45"/>
      <c r="EI567" s="45"/>
      <c r="EJ567" s="45"/>
      <c r="EK567" s="45"/>
      <c r="EL567" s="45"/>
      <c r="EM567" s="45"/>
      <c r="EN567" s="45"/>
      <c r="EO567" s="45"/>
      <c r="EP567" s="45"/>
      <c r="EQ567" s="45"/>
      <c r="ER567" s="45"/>
      <c r="ES567" s="45"/>
      <c r="ET567" s="45"/>
      <c r="EU567" s="45"/>
      <c r="EV567" s="45"/>
      <c r="EW567" s="45"/>
      <c r="EX567" s="45"/>
      <c r="EY567" s="45"/>
      <c r="EZ567" s="45"/>
      <c r="FA567" s="45"/>
      <c r="FB567" s="45"/>
      <c r="FC567" s="45"/>
      <c r="FD567" s="45"/>
      <c r="FE567" s="45"/>
      <c r="FF567" s="45"/>
      <c r="FG567" s="45"/>
      <c r="FH567" s="45"/>
      <c r="FI567" s="45"/>
      <c r="FJ567" s="45"/>
      <c r="FK567" s="45"/>
      <c r="FL567" s="45"/>
      <c r="FM567" s="45"/>
      <c r="FN567" s="45"/>
      <c r="FO567" s="45"/>
      <c r="FP567" s="45"/>
      <c r="FQ567" s="45"/>
      <c r="FR567" s="45"/>
      <c r="FS567" s="45"/>
      <c r="FT567" s="45"/>
      <c r="FU567" s="45"/>
      <c r="FV567" s="45"/>
      <c r="FW567" s="45"/>
      <c r="FX567" s="45"/>
      <c r="FY567" s="45"/>
      <c r="FZ567" s="45"/>
      <c r="GA567" s="45"/>
      <c r="GB567" s="45"/>
      <c r="GC567" s="45"/>
      <c r="GD567" s="45"/>
      <c r="GE567" s="45"/>
      <c r="GF567" s="45"/>
      <c r="GG567" s="45"/>
      <c r="GH567" s="45"/>
      <c r="GI567" s="45"/>
      <c r="GJ567" s="45"/>
      <c r="GK567" s="45"/>
      <c r="GL567" s="45"/>
      <c r="GM567" s="45"/>
      <c r="GN567" s="45"/>
      <c r="GO567" s="45"/>
      <c r="GP567" s="45"/>
      <c r="GQ567" s="45"/>
      <c r="GR567" s="45"/>
      <c r="GS567" s="45"/>
      <c r="GT567" s="45"/>
      <c r="GU567" s="45"/>
      <c r="GV567" s="45"/>
      <c r="GW567" s="45"/>
      <c r="GX567" s="45"/>
      <c r="GY567" s="45"/>
      <c r="GZ567" s="45"/>
      <c r="HA567" s="45"/>
      <c r="HB567" s="45"/>
      <c r="HC567" s="45"/>
      <c r="HD567" s="45"/>
      <c r="HE567" s="45"/>
      <c r="HF567" s="45"/>
      <c r="HG567" s="45"/>
      <c r="HH567" s="45"/>
      <c r="HI567" s="45"/>
      <c r="HJ567" s="45"/>
      <c r="HK567" s="45"/>
      <c r="HL567" s="45"/>
      <c r="HM567" s="45"/>
      <c r="HN567" s="45"/>
      <c r="HO567" s="45"/>
      <c r="HP567" s="45"/>
      <c r="HQ567" s="45"/>
      <c r="HR567" s="45"/>
      <c r="HS567" s="45"/>
      <c r="HT567" s="45"/>
      <c r="HU567" s="45"/>
      <c r="HV567" s="45"/>
      <c r="HW567" s="45"/>
      <c r="HX567" s="45"/>
      <c r="HY567" s="45"/>
    </row>
    <row r="568" spans="1:233" s="46" customFormat="1" ht="15" customHeight="1">
      <c r="A568" s="73" t="s">
        <v>44</v>
      </c>
      <c r="B568" s="26" t="s">
        <v>10</v>
      </c>
      <c r="C568" s="26" t="s">
        <v>13</v>
      </c>
      <c r="D568" s="26" t="s">
        <v>610</v>
      </c>
      <c r="E568" s="26" t="s">
        <v>67</v>
      </c>
      <c r="F568" s="26" t="s">
        <v>44</v>
      </c>
      <c r="G568" s="26" t="s">
        <v>198</v>
      </c>
      <c r="H568" s="26" t="s">
        <v>22</v>
      </c>
      <c r="I568" s="26" t="s">
        <v>641</v>
      </c>
      <c r="J568" s="26" t="s">
        <v>11</v>
      </c>
      <c r="K568" s="27" t="s">
        <v>73</v>
      </c>
      <c r="L568" s="26">
        <v>233</v>
      </c>
      <c r="M568" s="28">
        <v>161</v>
      </c>
      <c r="N568" s="82">
        <f t="shared" si="138"/>
        <v>69.098712446351925</v>
      </c>
      <c r="O568" s="28">
        <v>232</v>
      </c>
      <c r="P568" s="28">
        <v>79</v>
      </c>
      <c r="Q568" s="82">
        <f t="shared" si="139"/>
        <v>34.051724137931032</v>
      </c>
      <c r="R568" s="31">
        <v>28</v>
      </c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  <c r="BP568" s="45"/>
      <c r="BQ568" s="45"/>
      <c r="BR568" s="45"/>
      <c r="BS568" s="45"/>
      <c r="BT568" s="45"/>
      <c r="BU568" s="45"/>
      <c r="BV568" s="45"/>
      <c r="BW568" s="45"/>
      <c r="BX568" s="45"/>
      <c r="BY568" s="45"/>
      <c r="BZ568" s="45"/>
      <c r="CA568" s="45"/>
      <c r="CB568" s="45"/>
      <c r="CC568" s="45"/>
      <c r="CD568" s="45"/>
      <c r="CE568" s="45"/>
      <c r="CF568" s="45"/>
      <c r="CG568" s="45"/>
      <c r="CH568" s="45"/>
      <c r="CI568" s="45"/>
      <c r="CJ568" s="45"/>
      <c r="CK568" s="45"/>
      <c r="CL568" s="45"/>
      <c r="CM568" s="45"/>
      <c r="CN568" s="45"/>
      <c r="CO568" s="45"/>
      <c r="CP568" s="45"/>
      <c r="CQ568" s="45"/>
      <c r="CR568" s="45"/>
      <c r="CS568" s="45"/>
      <c r="CT568" s="45"/>
      <c r="CU568" s="45"/>
      <c r="CV568" s="45"/>
      <c r="CW568" s="45"/>
      <c r="CX568" s="45"/>
      <c r="CY568" s="45"/>
      <c r="CZ568" s="45"/>
      <c r="DA568" s="45"/>
      <c r="DB568" s="45"/>
      <c r="DC568" s="45"/>
      <c r="DD568" s="45"/>
      <c r="DE568" s="45"/>
      <c r="DF568" s="45"/>
      <c r="DG568" s="45"/>
      <c r="DH568" s="45"/>
      <c r="DI568" s="45"/>
      <c r="DJ568" s="45"/>
      <c r="DK568" s="45"/>
      <c r="DL568" s="45"/>
      <c r="DM568" s="45"/>
      <c r="DN568" s="45"/>
      <c r="DO568" s="45"/>
      <c r="DP568" s="45"/>
      <c r="DQ568" s="45"/>
      <c r="DR568" s="45"/>
      <c r="DS568" s="45"/>
      <c r="DT568" s="45"/>
      <c r="DU568" s="45"/>
      <c r="DV568" s="45"/>
      <c r="DW568" s="45"/>
      <c r="DX568" s="45"/>
      <c r="DY568" s="45"/>
      <c r="DZ568" s="45"/>
      <c r="EA568" s="45"/>
      <c r="EB568" s="45"/>
      <c r="EC568" s="45"/>
      <c r="ED568" s="45"/>
      <c r="EE568" s="45"/>
      <c r="EF568" s="45"/>
      <c r="EG568" s="45"/>
      <c r="EH568" s="45"/>
      <c r="EI568" s="45"/>
      <c r="EJ568" s="45"/>
      <c r="EK568" s="45"/>
      <c r="EL568" s="45"/>
      <c r="EM568" s="45"/>
      <c r="EN568" s="45"/>
      <c r="EO568" s="45"/>
      <c r="EP568" s="45"/>
      <c r="EQ568" s="45"/>
      <c r="ER568" s="45"/>
      <c r="ES568" s="45"/>
      <c r="ET568" s="45"/>
      <c r="EU568" s="45"/>
      <c r="EV568" s="45"/>
      <c r="EW568" s="45"/>
      <c r="EX568" s="45"/>
      <c r="EY568" s="45"/>
      <c r="EZ568" s="45"/>
      <c r="FA568" s="45"/>
      <c r="FB568" s="45"/>
      <c r="FC568" s="45"/>
      <c r="FD568" s="45"/>
      <c r="FE568" s="45"/>
      <c r="FF568" s="45"/>
      <c r="FG568" s="45"/>
      <c r="FH568" s="45"/>
      <c r="FI568" s="45"/>
      <c r="FJ568" s="45"/>
      <c r="FK568" s="45"/>
      <c r="FL568" s="45"/>
      <c r="FM568" s="45"/>
      <c r="FN568" s="45"/>
      <c r="FO568" s="45"/>
      <c r="FP568" s="45"/>
      <c r="FQ568" s="45"/>
      <c r="FR568" s="45"/>
      <c r="FS568" s="45"/>
      <c r="FT568" s="45"/>
      <c r="FU568" s="45"/>
      <c r="FV568" s="45"/>
      <c r="FW568" s="45"/>
      <c r="FX568" s="45"/>
      <c r="FY568" s="45"/>
      <c r="FZ568" s="45"/>
      <c r="GA568" s="45"/>
      <c r="GB568" s="45"/>
      <c r="GC568" s="45"/>
      <c r="GD568" s="45"/>
      <c r="GE568" s="45"/>
      <c r="GF568" s="45"/>
      <c r="GG568" s="45"/>
      <c r="GH568" s="45"/>
      <c r="GI568" s="45"/>
      <c r="GJ568" s="45"/>
      <c r="GK568" s="45"/>
      <c r="GL568" s="45"/>
      <c r="GM568" s="45"/>
      <c r="GN568" s="45"/>
      <c r="GO568" s="45"/>
      <c r="GP568" s="45"/>
      <c r="GQ568" s="45"/>
      <c r="GR568" s="45"/>
      <c r="GS568" s="45"/>
      <c r="GT568" s="45"/>
      <c r="GU568" s="45"/>
      <c r="GV568" s="45"/>
      <c r="GW568" s="45"/>
      <c r="GX568" s="45"/>
      <c r="GY568" s="45"/>
      <c r="GZ568" s="45"/>
      <c r="HA568" s="45"/>
      <c r="HB568" s="45"/>
      <c r="HC568" s="45"/>
      <c r="HD568" s="45"/>
      <c r="HE568" s="45"/>
      <c r="HF568" s="45"/>
      <c r="HG568" s="45"/>
      <c r="HH568" s="45"/>
      <c r="HI568" s="45"/>
      <c r="HJ568" s="45"/>
      <c r="HK568" s="45"/>
      <c r="HL568" s="45"/>
      <c r="HM568" s="45"/>
      <c r="HN568" s="45"/>
      <c r="HO568" s="45"/>
      <c r="HP568" s="45"/>
      <c r="HQ568" s="45"/>
      <c r="HR568" s="45"/>
      <c r="HS568" s="45"/>
      <c r="HT568" s="45"/>
      <c r="HU568" s="45"/>
      <c r="HV568" s="45"/>
      <c r="HW568" s="45"/>
      <c r="HX568" s="45"/>
      <c r="HY568" s="45"/>
    </row>
    <row r="569" spans="1:233" s="46" customFormat="1" ht="15" customHeight="1">
      <c r="A569" s="73" t="s">
        <v>44</v>
      </c>
      <c r="B569" s="26" t="s">
        <v>10</v>
      </c>
      <c r="C569" s="26" t="s">
        <v>13</v>
      </c>
      <c r="D569" s="26" t="s">
        <v>610</v>
      </c>
      <c r="E569" s="26" t="s">
        <v>67</v>
      </c>
      <c r="F569" s="26" t="s">
        <v>44</v>
      </c>
      <c r="G569" s="26" t="s">
        <v>215</v>
      </c>
      <c r="H569" s="26" t="s">
        <v>22</v>
      </c>
      <c r="I569" s="26" t="s">
        <v>641</v>
      </c>
      <c r="J569" s="26" t="s">
        <v>16</v>
      </c>
      <c r="K569" s="27" t="s">
        <v>142</v>
      </c>
      <c r="L569" s="26">
        <f>L577+L585</f>
        <v>3237</v>
      </c>
      <c r="M569" s="26">
        <f>M577+M585</f>
        <v>1792</v>
      </c>
      <c r="N569" s="82">
        <f>M569*100/L569</f>
        <v>55.359901143033674</v>
      </c>
      <c r="O569" s="26">
        <f>O577+O585</f>
        <v>2813</v>
      </c>
      <c r="P569" s="26">
        <f>P577+P585</f>
        <v>478</v>
      </c>
      <c r="Q569" s="82">
        <f>P569*100/O569</f>
        <v>16.992534660504798</v>
      </c>
      <c r="R569" s="31">
        <v>28</v>
      </c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  <c r="BP569" s="45"/>
      <c r="BQ569" s="45"/>
      <c r="BR569" s="45"/>
      <c r="BS569" s="45"/>
      <c r="BT569" s="45"/>
      <c r="BU569" s="45"/>
      <c r="BV569" s="45"/>
      <c r="BW569" s="45"/>
      <c r="BX569" s="45"/>
      <c r="BY569" s="45"/>
      <c r="BZ569" s="45"/>
      <c r="CA569" s="45"/>
      <c r="CB569" s="45"/>
      <c r="CC569" s="45"/>
      <c r="CD569" s="45"/>
      <c r="CE569" s="45"/>
      <c r="CF569" s="45"/>
      <c r="CG569" s="45"/>
      <c r="CH569" s="45"/>
      <c r="CI569" s="45"/>
      <c r="CJ569" s="45"/>
      <c r="CK569" s="45"/>
      <c r="CL569" s="45"/>
      <c r="CM569" s="45"/>
      <c r="CN569" s="45"/>
      <c r="CO569" s="45"/>
      <c r="CP569" s="45"/>
      <c r="CQ569" s="45"/>
      <c r="CR569" s="45"/>
      <c r="CS569" s="45"/>
      <c r="CT569" s="45"/>
      <c r="CU569" s="45"/>
      <c r="CV569" s="45"/>
      <c r="CW569" s="45"/>
      <c r="CX569" s="45"/>
      <c r="CY569" s="45"/>
      <c r="CZ569" s="45"/>
      <c r="DA569" s="45"/>
      <c r="DB569" s="45"/>
      <c r="DC569" s="45"/>
      <c r="DD569" s="45"/>
      <c r="DE569" s="45"/>
      <c r="DF569" s="45"/>
      <c r="DG569" s="45"/>
      <c r="DH569" s="45"/>
      <c r="DI569" s="45"/>
      <c r="DJ569" s="45"/>
      <c r="DK569" s="45"/>
      <c r="DL569" s="45"/>
      <c r="DM569" s="45"/>
      <c r="DN569" s="45"/>
      <c r="DO569" s="45"/>
      <c r="DP569" s="45"/>
      <c r="DQ569" s="45"/>
      <c r="DR569" s="45"/>
      <c r="DS569" s="45"/>
      <c r="DT569" s="45"/>
      <c r="DU569" s="45"/>
      <c r="DV569" s="45"/>
      <c r="DW569" s="45"/>
      <c r="DX569" s="45"/>
      <c r="DY569" s="45"/>
      <c r="DZ569" s="45"/>
      <c r="EA569" s="45"/>
      <c r="EB569" s="45"/>
      <c r="EC569" s="45"/>
      <c r="ED569" s="45"/>
      <c r="EE569" s="45"/>
      <c r="EF569" s="45"/>
      <c r="EG569" s="45"/>
      <c r="EH569" s="45"/>
      <c r="EI569" s="45"/>
      <c r="EJ569" s="45"/>
      <c r="EK569" s="45"/>
      <c r="EL569" s="45"/>
      <c r="EM569" s="45"/>
      <c r="EN569" s="45"/>
      <c r="EO569" s="45"/>
      <c r="EP569" s="45"/>
      <c r="EQ569" s="45"/>
      <c r="ER569" s="45"/>
      <c r="ES569" s="45"/>
      <c r="ET569" s="45"/>
      <c r="EU569" s="45"/>
      <c r="EV569" s="45"/>
      <c r="EW569" s="45"/>
      <c r="EX569" s="45"/>
      <c r="EY569" s="45"/>
      <c r="EZ569" s="45"/>
      <c r="FA569" s="45"/>
      <c r="FB569" s="45"/>
      <c r="FC569" s="45"/>
      <c r="FD569" s="45"/>
      <c r="FE569" s="45"/>
      <c r="FF569" s="45"/>
      <c r="FG569" s="45"/>
      <c r="FH569" s="45"/>
      <c r="FI569" s="45"/>
      <c r="FJ569" s="45"/>
      <c r="FK569" s="45"/>
      <c r="FL569" s="45"/>
      <c r="FM569" s="45"/>
      <c r="FN569" s="45"/>
      <c r="FO569" s="45"/>
      <c r="FP569" s="45"/>
      <c r="FQ569" s="45"/>
      <c r="FR569" s="45"/>
      <c r="FS569" s="45"/>
      <c r="FT569" s="45"/>
      <c r="FU569" s="45"/>
      <c r="FV569" s="45"/>
      <c r="FW569" s="45"/>
      <c r="FX569" s="45"/>
      <c r="FY569" s="45"/>
      <c r="FZ569" s="45"/>
      <c r="GA569" s="45"/>
      <c r="GB569" s="45"/>
      <c r="GC569" s="45"/>
      <c r="GD569" s="45"/>
      <c r="GE569" s="45"/>
      <c r="GF569" s="45"/>
      <c r="GG569" s="45"/>
      <c r="GH569" s="45"/>
      <c r="GI569" s="45"/>
      <c r="GJ569" s="45"/>
      <c r="GK569" s="45"/>
      <c r="GL569" s="45"/>
      <c r="GM569" s="45"/>
      <c r="GN569" s="45"/>
      <c r="GO569" s="45"/>
      <c r="GP569" s="45"/>
      <c r="GQ569" s="45"/>
      <c r="GR569" s="45"/>
      <c r="GS569" s="45"/>
      <c r="GT569" s="45"/>
      <c r="GU569" s="45"/>
      <c r="GV569" s="45"/>
      <c r="GW569" s="45"/>
      <c r="GX569" s="45"/>
      <c r="GY569" s="45"/>
      <c r="GZ569" s="45"/>
      <c r="HA569" s="45"/>
      <c r="HB569" s="45"/>
      <c r="HC569" s="45"/>
      <c r="HD569" s="45"/>
      <c r="HE569" s="45"/>
      <c r="HF569" s="45"/>
      <c r="HG569" s="45"/>
      <c r="HH569" s="45"/>
      <c r="HI569" s="45"/>
      <c r="HJ569" s="45"/>
      <c r="HK569" s="45"/>
      <c r="HL569" s="45"/>
      <c r="HM569" s="45"/>
      <c r="HN569" s="45"/>
      <c r="HO569" s="45"/>
      <c r="HP569" s="45"/>
      <c r="HQ569" s="45"/>
      <c r="HR569" s="45"/>
      <c r="HS569" s="45"/>
      <c r="HT569" s="45"/>
      <c r="HU569" s="45"/>
      <c r="HV569" s="45"/>
      <c r="HW569" s="45"/>
      <c r="HX569" s="45"/>
      <c r="HY569" s="45"/>
    </row>
    <row r="570" spans="1:233" s="46" customFormat="1" ht="15" customHeight="1">
      <c r="A570" s="73" t="s">
        <v>44</v>
      </c>
      <c r="B570" s="26" t="s">
        <v>10</v>
      </c>
      <c r="C570" s="26" t="s">
        <v>13</v>
      </c>
      <c r="D570" s="26" t="s">
        <v>610</v>
      </c>
      <c r="E570" s="26" t="s">
        <v>67</v>
      </c>
      <c r="F570" s="26" t="s">
        <v>44</v>
      </c>
      <c r="G570" s="26" t="s">
        <v>215</v>
      </c>
      <c r="H570" s="26" t="s">
        <v>22</v>
      </c>
      <c r="I570" s="26" t="s">
        <v>641</v>
      </c>
      <c r="J570" s="26" t="s">
        <v>16</v>
      </c>
      <c r="K570" s="27" t="s">
        <v>24</v>
      </c>
      <c r="L570" s="26">
        <f t="shared" ref="L570:M570" si="140">L578+L586</f>
        <v>661</v>
      </c>
      <c r="M570" s="26">
        <f t="shared" si="140"/>
        <v>221</v>
      </c>
      <c r="N570" s="82">
        <f t="shared" ref="N570:N576" si="141">M570*100/L570</f>
        <v>33.434190620272318</v>
      </c>
      <c r="O570" s="26">
        <f t="shared" ref="O570:P570" si="142">O578+O586</f>
        <v>234</v>
      </c>
      <c r="P570" s="26">
        <f t="shared" si="142"/>
        <v>8</v>
      </c>
      <c r="Q570" s="82">
        <f t="shared" ref="Q570:Q576" si="143">P570*100/O570</f>
        <v>3.4188034188034186</v>
      </c>
      <c r="R570" s="31">
        <v>28</v>
      </c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  <c r="BP570" s="45"/>
      <c r="BQ570" s="45"/>
      <c r="BR570" s="45"/>
      <c r="BS570" s="45"/>
      <c r="BT570" s="45"/>
      <c r="BU570" s="45"/>
      <c r="BV570" s="45"/>
      <c r="BW570" s="45"/>
      <c r="BX570" s="45"/>
      <c r="BY570" s="45"/>
      <c r="BZ570" s="45"/>
      <c r="CA570" s="45"/>
      <c r="CB570" s="45"/>
      <c r="CC570" s="45"/>
      <c r="CD570" s="45"/>
      <c r="CE570" s="45"/>
      <c r="CF570" s="45"/>
      <c r="CG570" s="45"/>
      <c r="CH570" s="45"/>
      <c r="CI570" s="45"/>
      <c r="CJ570" s="45"/>
      <c r="CK570" s="45"/>
      <c r="CL570" s="45"/>
      <c r="CM570" s="45"/>
      <c r="CN570" s="45"/>
      <c r="CO570" s="45"/>
      <c r="CP570" s="45"/>
      <c r="CQ570" s="45"/>
      <c r="CR570" s="45"/>
      <c r="CS570" s="45"/>
      <c r="CT570" s="45"/>
      <c r="CU570" s="45"/>
      <c r="CV570" s="45"/>
      <c r="CW570" s="45"/>
      <c r="CX570" s="45"/>
      <c r="CY570" s="45"/>
      <c r="CZ570" s="45"/>
      <c r="DA570" s="45"/>
      <c r="DB570" s="45"/>
      <c r="DC570" s="45"/>
      <c r="DD570" s="45"/>
      <c r="DE570" s="45"/>
      <c r="DF570" s="45"/>
      <c r="DG570" s="45"/>
      <c r="DH570" s="45"/>
      <c r="DI570" s="45"/>
      <c r="DJ570" s="45"/>
      <c r="DK570" s="45"/>
      <c r="DL570" s="45"/>
      <c r="DM570" s="45"/>
      <c r="DN570" s="45"/>
      <c r="DO570" s="45"/>
      <c r="DP570" s="45"/>
      <c r="DQ570" s="45"/>
      <c r="DR570" s="45"/>
      <c r="DS570" s="45"/>
      <c r="DT570" s="45"/>
      <c r="DU570" s="45"/>
      <c r="DV570" s="45"/>
      <c r="DW570" s="45"/>
      <c r="DX570" s="45"/>
      <c r="DY570" s="45"/>
      <c r="DZ570" s="45"/>
      <c r="EA570" s="45"/>
      <c r="EB570" s="45"/>
      <c r="EC570" s="45"/>
      <c r="ED570" s="45"/>
      <c r="EE570" s="45"/>
      <c r="EF570" s="45"/>
      <c r="EG570" s="45"/>
      <c r="EH570" s="45"/>
      <c r="EI570" s="45"/>
      <c r="EJ570" s="45"/>
      <c r="EK570" s="45"/>
      <c r="EL570" s="45"/>
      <c r="EM570" s="45"/>
      <c r="EN570" s="45"/>
      <c r="EO570" s="45"/>
      <c r="EP570" s="45"/>
      <c r="EQ570" s="45"/>
      <c r="ER570" s="45"/>
      <c r="ES570" s="45"/>
      <c r="ET570" s="45"/>
      <c r="EU570" s="45"/>
      <c r="EV570" s="45"/>
      <c r="EW570" s="45"/>
      <c r="EX570" s="45"/>
      <c r="EY570" s="45"/>
      <c r="EZ570" s="45"/>
      <c r="FA570" s="45"/>
      <c r="FB570" s="45"/>
      <c r="FC570" s="45"/>
      <c r="FD570" s="45"/>
      <c r="FE570" s="45"/>
      <c r="FF570" s="45"/>
      <c r="FG570" s="45"/>
      <c r="FH570" s="45"/>
      <c r="FI570" s="45"/>
      <c r="FJ570" s="45"/>
      <c r="FK570" s="45"/>
      <c r="FL570" s="45"/>
      <c r="FM570" s="45"/>
      <c r="FN570" s="45"/>
      <c r="FO570" s="45"/>
      <c r="FP570" s="45"/>
      <c r="FQ570" s="45"/>
      <c r="FR570" s="45"/>
      <c r="FS570" s="45"/>
      <c r="FT570" s="45"/>
      <c r="FU570" s="45"/>
      <c r="FV570" s="45"/>
      <c r="FW570" s="45"/>
      <c r="FX570" s="45"/>
      <c r="FY570" s="45"/>
      <c r="FZ570" s="45"/>
      <c r="GA570" s="45"/>
      <c r="GB570" s="45"/>
      <c r="GC570" s="45"/>
      <c r="GD570" s="45"/>
      <c r="GE570" s="45"/>
      <c r="GF570" s="45"/>
      <c r="GG570" s="45"/>
      <c r="GH570" s="45"/>
      <c r="GI570" s="45"/>
      <c r="GJ570" s="45"/>
      <c r="GK570" s="45"/>
      <c r="GL570" s="45"/>
      <c r="GM570" s="45"/>
      <c r="GN570" s="45"/>
      <c r="GO570" s="45"/>
      <c r="GP570" s="45"/>
      <c r="GQ570" s="45"/>
      <c r="GR570" s="45"/>
      <c r="GS570" s="45"/>
      <c r="GT570" s="45"/>
      <c r="GU570" s="45"/>
      <c r="GV570" s="45"/>
      <c r="GW570" s="45"/>
      <c r="GX570" s="45"/>
      <c r="GY570" s="45"/>
      <c r="GZ570" s="45"/>
      <c r="HA570" s="45"/>
      <c r="HB570" s="45"/>
      <c r="HC570" s="45"/>
      <c r="HD570" s="45"/>
      <c r="HE570" s="45"/>
      <c r="HF570" s="45"/>
      <c r="HG570" s="45"/>
      <c r="HH570" s="45"/>
      <c r="HI570" s="45"/>
      <c r="HJ570" s="45"/>
      <c r="HK570" s="45"/>
      <c r="HL570" s="45"/>
      <c r="HM570" s="45"/>
      <c r="HN570" s="45"/>
      <c r="HO570" s="45"/>
      <c r="HP570" s="45"/>
      <c r="HQ570" s="45"/>
      <c r="HR570" s="45"/>
      <c r="HS570" s="45"/>
      <c r="HT570" s="45"/>
      <c r="HU570" s="45"/>
      <c r="HV570" s="45"/>
      <c r="HW570" s="45"/>
      <c r="HX570" s="45"/>
      <c r="HY570" s="45"/>
    </row>
    <row r="571" spans="1:233" s="46" customFormat="1" ht="15" customHeight="1">
      <c r="A571" s="73" t="s">
        <v>44</v>
      </c>
      <c r="B571" s="26" t="s">
        <v>10</v>
      </c>
      <c r="C571" s="26" t="s">
        <v>13</v>
      </c>
      <c r="D571" s="26" t="s">
        <v>610</v>
      </c>
      <c r="E571" s="26" t="s">
        <v>67</v>
      </c>
      <c r="F571" s="26" t="s">
        <v>44</v>
      </c>
      <c r="G571" s="26" t="s">
        <v>215</v>
      </c>
      <c r="H571" s="26" t="s">
        <v>22</v>
      </c>
      <c r="I571" s="26" t="s">
        <v>641</v>
      </c>
      <c r="J571" s="26" t="s">
        <v>16</v>
      </c>
      <c r="K571" s="27" t="s">
        <v>25</v>
      </c>
      <c r="L571" s="26">
        <f t="shared" ref="L571:M571" si="144">L579+L587</f>
        <v>380</v>
      </c>
      <c r="M571" s="26">
        <f t="shared" si="144"/>
        <v>173</v>
      </c>
      <c r="N571" s="82">
        <f t="shared" si="141"/>
        <v>45.526315789473685</v>
      </c>
      <c r="O571" s="26">
        <f t="shared" ref="O571:P571" si="145">O579+O587</f>
        <v>380</v>
      </c>
      <c r="P571" s="26">
        <f t="shared" si="145"/>
        <v>28</v>
      </c>
      <c r="Q571" s="82">
        <f t="shared" si="143"/>
        <v>7.3684210526315788</v>
      </c>
      <c r="R571" s="31">
        <v>28</v>
      </c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  <c r="BP571" s="45"/>
      <c r="BQ571" s="45"/>
      <c r="BR571" s="45"/>
      <c r="BS571" s="45"/>
      <c r="BT571" s="45"/>
      <c r="BU571" s="45"/>
      <c r="BV571" s="45"/>
      <c r="BW571" s="45"/>
      <c r="BX571" s="45"/>
      <c r="BY571" s="45"/>
      <c r="BZ571" s="45"/>
      <c r="CA571" s="45"/>
      <c r="CB571" s="45"/>
      <c r="CC571" s="45"/>
      <c r="CD571" s="45"/>
      <c r="CE571" s="45"/>
      <c r="CF571" s="45"/>
      <c r="CG571" s="45"/>
      <c r="CH571" s="45"/>
      <c r="CI571" s="45"/>
      <c r="CJ571" s="45"/>
      <c r="CK571" s="45"/>
      <c r="CL571" s="45"/>
      <c r="CM571" s="45"/>
      <c r="CN571" s="45"/>
      <c r="CO571" s="45"/>
      <c r="CP571" s="45"/>
      <c r="CQ571" s="45"/>
      <c r="CR571" s="45"/>
      <c r="CS571" s="45"/>
      <c r="CT571" s="45"/>
      <c r="CU571" s="45"/>
      <c r="CV571" s="45"/>
      <c r="CW571" s="45"/>
      <c r="CX571" s="45"/>
      <c r="CY571" s="45"/>
      <c r="CZ571" s="45"/>
      <c r="DA571" s="45"/>
      <c r="DB571" s="45"/>
      <c r="DC571" s="45"/>
      <c r="DD571" s="45"/>
      <c r="DE571" s="45"/>
      <c r="DF571" s="45"/>
      <c r="DG571" s="45"/>
      <c r="DH571" s="45"/>
      <c r="DI571" s="45"/>
      <c r="DJ571" s="45"/>
      <c r="DK571" s="45"/>
      <c r="DL571" s="45"/>
      <c r="DM571" s="45"/>
      <c r="DN571" s="45"/>
      <c r="DO571" s="45"/>
      <c r="DP571" s="45"/>
      <c r="DQ571" s="45"/>
      <c r="DR571" s="45"/>
      <c r="DS571" s="45"/>
      <c r="DT571" s="45"/>
      <c r="DU571" s="45"/>
      <c r="DV571" s="45"/>
      <c r="DW571" s="45"/>
      <c r="DX571" s="45"/>
      <c r="DY571" s="45"/>
      <c r="DZ571" s="45"/>
      <c r="EA571" s="45"/>
      <c r="EB571" s="45"/>
      <c r="EC571" s="45"/>
      <c r="ED571" s="45"/>
      <c r="EE571" s="45"/>
      <c r="EF571" s="45"/>
      <c r="EG571" s="45"/>
      <c r="EH571" s="45"/>
      <c r="EI571" s="45"/>
      <c r="EJ571" s="45"/>
      <c r="EK571" s="45"/>
      <c r="EL571" s="45"/>
      <c r="EM571" s="45"/>
      <c r="EN571" s="45"/>
      <c r="EO571" s="45"/>
      <c r="EP571" s="45"/>
      <c r="EQ571" s="45"/>
      <c r="ER571" s="45"/>
      <c r="ES571" s="45"/>
      <c r="ET571" s="45"/>
      <c r="EU571" s="45"/>
      <c r="EV571" s="45"/>
      <c r="EW571" s="45"/>
      <c r="EX571" s="45"/>
      <c r="EY571" s="45"/>
      <c r="EZ571" s="45"/>
      <c r="FA571" s="45"/>
      <c r="FB571" s="45"/>
      <c r="FC571" s="45"/>
      <c r="FD571" s="45"/>
      <c r="FE571" s="45"/>
      <c r="FF571" s="45"/>
      <c r="FG571" s="45"/>
      <c r="FH571" s="45"/>
      <c r="FI571" s="45"/>
      <c r="FJ571" s="45"/>
      <c r="FK571" s="45"/>
      <c r="FL571" s="45"/>
      <c r="FM571" s="45"/>
      <c r="FN571" s="45"/>
      <c r="FO571" s="45"/>
      <c r="FP571" s="45"/>
      <c r="FQ571" s="45"/>
      <c r="FR571" s="45"/>
      <c r="FS571" s="45"/>
      <c r="FT571" s="45"/>
      <c r="FU571" s="45"/>
      <c r="FV571" s="45"/>
      <c r="FW571" s="45"/>
      <c r="FX571" s="45"/>
      <c r="FY571" s="45"/>
      <c r="FZ571" s="45"/>
      <c r="GA571" s="45"/>
      <c r="GB571" s="45"/>
      <c r="GC571" s="45"/>
      <c r="GD571" s="45"/>
      <c r="GE571" s="45"/>
      <c r="GF571" s="45"/>
      <c r="GG571" s="45"/>
      <c r="GH571" s="45"/>
      <c r="GI571" s="45"/>
      <c r="GJ571" s="45"/>
      <c r="GK571" s="45"/>
      <c r="GL571" s="45"/>
      <c r="GM571" s="45"/>
      <c r="GN571" s="45"/>
      <c r="GO571" s="45"/>
      <c r="GP571" s="45"/>
      <c r="GQ571" s="45"/>
      <c r="GR571" s="45"/>
      <c r="GS571" s="45"/>
      <c r="GT571" s="45"/>
      <c r="GU571" s="45"/>
      <c r="GV571" s="45"/>
      <c r="GW571" s="45"/>
      <c r="GX571" s="45"/>
      <c r="GY571" s="45"/>
      <c r="GZ571" s="45"/>
      <c r="HA571" s="45"/>
      <c r="HB571" s="45"/>
      <c r="HC571" s="45"/>
      <c r="HD571" s="45"/>
      <c r="HE571" s="45"/>
      <c r="HF571" s="45"/>
      <c r="HG571" s="45"/>
      <c r="HH571" s="45"/>
      <c r="HI571" s="45"/>
      <c r="HJ571" s="45"/>
      <c r="HK571" s="45"/>
      <c r="HL571" s="45"/>
      <c r="HM571" s="45"/>
      <c r="HN571" s="45"/>
      <c r="HO571" s="45"/>
      <c r="HP571" s="45"/>
      <c r="HQ571" s="45"/>
      <c r="HR571" s="45"/>
      <c r="HS571" s="45"/>
      <c r="HT571" s="45"/>
      <c r="HU571" s="45"/>
      <c r="HV571" s="45"/>
      <c r="HW571" s="45"/>
      <c r="HX571" s="45"/>
      <c r="HY571" s="45"/>
    </row>
    <row r="572" spans="1:233" s="46" customFormat="1" ht="15" customHeight="1">
      <c r="A572" s="73" t="s">
        <v>44</v>
      </c>
      <c r="B572" s="26" t="s">
        <v>10</v>
      </c>
      <c r="C572" s="26" t="s">
        <v>13</v>
      </c>
      <c r="D572" s="26" t="s">
        <v>610</v>
      </c>
      <c r="E572" s="26" t="s">
        <v>67</v>
      </c>
      <c r="F572" s="26" t="s">
        <v>44</v>
      </c>
      <c r="G572" s="26" t="s">
        <v>215</v>
      </c>
      <c r="H572" s="26" t="s">
        <v>22</v>
      </c>
      <c r="I572" s="26" t="s">
        <v>641</v>
      </c>
      <c r="J572" s="26" t="s">
        <v>16</v>
      </c>
      <c r="K572" s="27" t="s">
        <v>26</v>
      </c>
      <c r="L572" s="26">
        <f t="shared" ref="L572:M572" si="146">L580+L588</f>
        <v>478</v>
      </c>
      <c r="M572" s="26">
        <f t="shared" si="146"/>
        <v>251</v>
      </c>
      <c r="N572" s="82">
        <f t="shared" si="141"/>
        <v>52.510460251046027</v>
      </c>
      <c r="O572" s="26">
        <f t="shared" ref="O572:P572" si="147">O580+O588</f>
        <v>478</v>
      </c>
      <c r="P572" s="26">
        <f t="shared" si="147"/>
        <v>56</v>
      </c>
      <c r="Q572" s="82">
        <f t="shared" si="143"/>
        <v>11.715481171548117</v>
      </c>
      <c r="R572" s="31">
        <v>28</v>
      </c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  <c r="BP572" s="45"/>
      <c r="BQ572" s="45"/>
      <c r="BR572" s="45"/>
      <c r="BS572" s="45"/>
      <c r="BT572" s="45"/>
      <c r="BU572" s="45"/>
      <c r="BV572" s="45"/>
      <c r="BW572" s="45"/>
      <c r="BX572" s="45"/>
      <c r="BY572" s="45"/>
      <c r="BZ572" s="45"/>
      <c r="CA572" s="45"/>
      <c r="CB572" s="45"/>
      <c r="CC572" s="45"/>
      <c r="CD572" s="45"/>
      <c r="CE572" s="45"/>
      <c r="CF572" s="45"/>
      <c r="CG572" s="45"/>
      <c r="CH572" s="45"/>
      <c r="CI572" s="45"/>
      <c r="CJ572" s="45"/>
      <c r="CK572" s="45"/>
      <c r="CL572" s="45"/>
      <c r="CM572" s="45"/>
      <c r="CN572" s="45"/>
      <c r="CO572" s="45"/>
      <c r="CP572" s="45"/>
      <c r="CQ572" s="45"/>
      <c r="CR572" s="45"/>
      <c r="CS572" s="45"/>
      <c r="CT572" s="45"/>
      <c r="CU572" s="45"/>
      <c r="CV572" s="45"/>
      <c r="CW572" s="45"/>
      <c r="CX572" s="45"/>
      <c r="CY572" s="45"/>
      <c r="CZ572" s="45"/>
      <c r="DA572" s="45"/>
      <c r="DB572" s="45"/>
      <c r="DC572" s="45"/>
      <c r="DD572" s="45"/>
      <c r="DE572" s="45"/>
      <c r="DF572" s="45"/>
      <c r="DG572" s="45"/>
      <c r="DH572" s="45"/>
      <c r="DI572" s="45"/>
      <c r="DJ572" s="45"/>
      <c r="DK572" s="45"/>
      <c r="DL572" s="45"/>
      <c r="DM572" s="45"/>
      <c r="DN572" s="45"/>
      <c r="DO572" s="45"/>
      <c r="DP572" s="45"/>
      <c r="DQ572" s="45"/>
      <c r="DR572" s="45"/>
      <c r="DS572" s="45"/>
      <c r="DT572" s="45"/>
      <c r="DU572" s="45"/>
      <c r="DV572" s="45"/>
      <c r="DW572" s="45"/>
      <c r="DX572" s="45"/>
      <c r="DY572" s="45"/>
      <c r="DZ572" s="45"/>
      <c r="EA572" s="45"/>
      <c r="EB572" s="45"/>
      <c r="EC572" s="45"/>
      <c r="ED572" s="45"/>
      <c r="EE572" s="45"/>
      <c r="EF572" s="45"/>
      <c r="EG572" s="45"/>
      <c r="EH572" s="45"/>
      <c r="EI572" s="45"/>
      <c r="EJ572" s="45"/>
      <c r="EK572" s="45"/>
      <c r="EL572" s="45"/>
      <c r="EM572" s="45"/>
      <c r="EN572" s="45"/>
      <c r="EO572" s="45"/>
      <c r="EP572" s="45"/>
      <c r="EQ572" s="45"/>
      <c r="ER572" s="45"/>
      <c r="ES572" s="45"/>
      <c r="ET572" s="45"/>
      <c r="EU572" s="45"/>
      <c r="EV572" s="45"/>
      <c r="EW572" s="45"/>
      <c r="EX572" s="45"/>
      <c r="EY572" s="45"/>
      <c r="EZ572" s="45"/>
      <c r="FA572" s="45"/>
      <c r="FB572" s="45"/>
      <c r="FC572" s="45"/>
      <c r="FD572" s="45"/>
      <c r="FE572" s="45"/>
      <c r="FF572" s="45"/>
      <c r="FG572" s="45"/>
      <c r="FH572" s="45"/>
      <c r="FI572" s="45"/>
      <c r="FJ572" s="45"/>
      <c r="FK572" s="45"/>
      <c r="FL572" s="45"/>
      <c r="FM572" s="45"/>
      <c r="FN572" s="45"/>
      <c r="FO572" s="45"/>
      <c r="FP572" s="45"/>
      <c r="FQ572" s="45"/>
      <c r="FR572" s="45"/>
      <c r="FS572" s="45"/>
      <c r="FT572" s="45"/>
      <c r="FU572" s="45"/>
      <c r="FV572" s="45"/>
      <c r="FW572" s="45"/>
      <c r="FX572" s="45"/>
      <c r="FY572" s="45"/>
      <c r="FZ572" s="45"/>
      <c r="GA572" s="45"/>
      <c r="GB572" s="45"/>
      <c r="GC572" s="45"/>
      <c r="GD572" s="45"/>
      <c r="GE572" s="45"/>
      <c r="GF572" s="45"/>
      <c r="GG572" s="45"/>
      <c r="GH572" s="45"/>
      <c r="GI572" s="45"/>
      <c r="GJ572" s="45"/>
      <c r="GK572" s="45"/>
      <c r="GL572" s="45"/>
      <c r="GM572" s="45"/>
      <c r="GN572" s="45"/>
      <c r="GO572" s="45"/>
      <c r="GP572" s="45"/>
      <c r="GQ572" s="45"/>
      <c r="GR572" s="45"/>
      <c r="GS572" s="45"/>
      <c r="GT572" s="45"/>
      <c r="GU572" s="45"/>
      <c r="GV572" s="45"/>
      <c r="GW572" s="45"/>
      <c r="GX572" s="45"/>
      <c r="GY572" s="45"/>
      <c r="GZ572" s="45"/>
      <c r="HA572" s="45"/>
      <c r="HB572" s="45"/>
      <c r="HC572" s="45"/>
      <c r="HD572" s="45"/>
      <c r="HE572" s="45"/>
      <c r="HF572" s="45"/>
      <c r="HG572" s="45"/>
      <c r="HH572" s="45"/>
      <c r="HI572" s="45"/>
      <c r="HJ572" s="45"/>
      <c r="HK572" s="45"/>
      <c r="HL572" s="45"/>
      <c r="HM572" s="45"/>
      <c r="HN572" s="45"/>
      <c r="HO572" s="45"/>
      <c r="HP572" s="45"/>
      <c r="HQ572" s="45"/>
      <c r="HR572" s="45"/>
      <c r="HS572" s="45"/>
      <c r="HT572" s="45"/>
      <c r="HU572" s="45"/>
      <c r="HV572" s="45"/>
      <c r="HW572" s="45"/>
      <c r="HX572" s="45"/>
      <c r="HY572" s="45"/>
    </row>
    <row r="573" spans="1:233" s="46" customFormat="1" ht="15" customHeight="1">
      <c r="A573" s="73" t="s">
        <v>44</v>
      </c>
      <c r="B573" s="26" t="s">
        <v>10</v>
      </c>
      <c r="C573" s="26" t="s">
        <v>13</v>
      </c>
      <c r="D573" s="26" t="s">
        <v>610</v>
      </c>
      <c r="E573" s="26" t="s">
        <v>67</v>
      </c>
      <c r="F573" s="26" t="s">
        <v>44</v>
      </c>
      <c r="G573" s="26" t="s">
        <v>215</v>
      </c>
      <c r="H573" s="26" t="s">
        <v>22</v>
      </c>
      <c r="I573" s="26" t="s">
        <v>641</v>
      </c>
      <c r="J573" s="26" t="s">
        <v>16</v>
      </c>
      <c r="K573" s="27" t="s">
        <v>27</v>
      </c>
      <c r="L573" s="26">
        <f t="shared" ref="L573:M573" si="148">L581+L589</f>
        <v>441</v>
      </c>
      <c r="M573" s="26">
        <f t="shared" si="148"/>
        <v>257</v>
      </c>
      <c r="N573" s="82">
        <f t="shared" si="141"/>
        <v>58.276643990929706</v>
      </c>
      <c r="O573" s="26">
        <f t="shared" ref="O573:P573" si="149">O581+O589</f>
        <v>442</v>
      </c>
      <c r="P573" s="26">
        <f t="shared" si="149"/>
        <v>65</v>
      </c>
      <c r="Q573" s="82">
        <f t="shared" si="143"/>
        <v>14.705882352941176</v>
      </c>
      <c r="R573" s="31">
        <v>28</v>
      </c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  <c r="BP573" s="45"/>
      <c r="BQ573" s="45"/>
      <c r="BR573" s="45"/>
      <c r="BS573" s="45"/>
      <c r="BT573" s="45"/>
      <c r="BU573" s="45"/>
      <c r="BV573" s="45"/>
      <c r="BW573" s="45"/>
      <c r="BX573" s="45"/>
      <c r="BY573" s="45"/>
      <c r="BZ573" s="45"/>
      <c r="CA573" s="45"/>
      <c r="CB573" s="45"/>
      <c r="CC573" s="45"/>
      <c r="CD573" s="45"/>
      <c r="CE573" s="45"/>
      <c r="CF573" s="45"/>
      <c r="CG573" s="45"/>
      <c r="CH573" s="45"/>
      <c r="CI573" s="45"/>
      <c r="CJ573" s="45"/>
      <c r="CK573" s="45"/>
      <c r="CL573" s="45"/>
      <c r="CM573" s="45"/>
      <c r="CN573" s="45"/>
      <c r="CO573" s="45"/>
      <c r="CP573" s="45"/>
      <c r="CQ573" s="45"/>
      <c r="CR573" s="45"/>
      <c r="CS573" s="45"/>
      <c r="CT573" s="45"/>
      <c r="CU573" s="45"/>
      <c r="CV573" s="45"/>
      <c r="CW573" s="45"/>
      <c r="CX573" s="45"/>
      <c r="CY573" s="45"/>
      <c r="CZ573" s="45"/>
      <c r="DA573" s="45"/>
      <c r="DB573" s="45"/>
      <c r="DC573" s="45"/>
      <c r="DD573" s="45"/>
      <c r="DE573" s="45"/>
      <c r="DF573" s="45"/>
      <c r="DG573" s="45"/>
      <c r="DH573" s="45"/>
      <c r="DI573" s="45"/>
      <c r="DJ573" s="45"/>
      <c r="DK573" s="45"/>
      <c r="DL573" s="45"/>
      <c r="DM573" s="45"/>
      <c r="DN573" s="45"/>
      <c r="DO573" s="45"/>
      <c r="DP573" s="45"/>
      <c r="DQ573" s="45"/>
      <c r="DR573" s="45"/>
      <c r="DS573" s="45"/>
      <c r="DT573" s="45"/>
      <c r="DU573" s="45"/>
      <c r="DV573" s="45"/>
      <c r="DW573" s="45"/>
      <c r="DX573" s="45"/>
      <c r="DY573" s="45"/>
      <c r="DZ573" s="45"/>
      <c r="EA573" s="45"/>
      <c r="EB573" s="45"/>
      <c r="EC573" s="45"/>
      <c r="ED573" s="45"/>
      <c r="EE573" s="45"/>
      <c r="EF573" s="45"/>
      <c r="EG573" s="45"/>
      <c r="EH573" s="45"/>
      <c r="EI573" s="45"/>
      <c r="EJ573" s="45"/>
      <c r="EK573" s="45"/>
      <c r="EL573" s="45"/>
      <c r="EM573" s="45"/>
      <c r="EN573" s="45"/>
      <c r="EO573" s="45"/>
      <c r="EP573" s="45"/>
      <c r="EQ573" s="45"/>
      <c r="ER573" s="45"/>
      <c r="ES573" s="45"/>
      <c r="ET573" s="45"/>
      <c r="EU573" s="45"/>
      <c r="EV573" s="45"/>
      <c r="EW573" s="45"/>
      <c r="EX573" s="45"/>
      <c r="EY573" s="45"/>
      <c r="EZ573" s="45"/>
      <c r="FA573" s="45"/>
      <c r="FB573" s="45"/>
      <c r="FC573" s="45"/>
      <c r="FD573" s="45"/>
      <c r="FE573" s="45"/>
      <c r="FF573" s="45"/>
      <c r="FG573" s="45"/>
      <c r="FH573" s="45"/>
      <c r="FI573" s="45"/>
      <c r="FJ573" s="45"/>
      <c r="FK573" s="45"/>
      <c r="FL573" s="45"/>
      <c r="FM573" s="45"/>
      <c r="FN573" s="45"/>
      <c r="FO573" s="45"/>
      <c r="FP573" s="45"/>
      <c r="FQ573" s="45"/>
      <c r="FR573" s="45"/>
      <c r="FS573" s="45"/>
      <c r="FT573" s="45"/>
      <c r="FU573" s="45"/>
      <c r="FV573" s="45"/>
      <c r="FW573" s="45"/>
      <c r="FX573" s="45"/>
      <c r="FY573" s="45"/>
      <c r="FZ573" s="45"/>
      <c r="GA573" s="45"/>
      <c r="GB573" s="45"/>
      <c r="GC573" s="45"/>
      <c r="GD573" s="45"/>
      <c r="GE573" s="45"/>
      <c r="GF573" s="45"/>
      <c r="GG573" s="45"/>
      <c r="GH573" s="45"/>
      <c r="GI573" s="45"/>
      <c r="GJ573" s="45"/>
      <c r="GK573" s="45"/>
      <c r="GL573" s="45"/>
      <c r="GM573" s="45"/>
      <c r="GN573" s="45"/>
      <c r="GO573" s="45"/>
      <c r="GP573" s="45"/>
      <c r="GQ573" s="45"/>
      <c r="GR573" s="45"/>
      <c r="GS573" s="45"/>
      <c r="GT573" s="45"/>
      <c r="GU573" s="45"/>
      <c r="GV573" s="45"/>
      <c r="GW573" s="45"/>
      <c r="GX573" s="45"/>
      <c r="GY573" s="45"/>
      <c r="GZ573" s="45"/>
      <c r="HA573" s="45"/>
      <c r="HB573" s="45"/>
      <c r="HC573" s="45"/>
      <c r="HD573" s="45"/>
      <c r="HE573" s="45"/>
      <c r="HF573" s="45"/>
      <c r="HG573" s="45"/>
      <c r="HH573" s="45"/>
      <c r="HI573" s="45"/>
      <c r="HJ573" s="45"/>
      <c r="HK573" s="45"/>
      <c r="HL573" s="45"/>
      <c r="HM573" s="45"/>
      <c r="HN573" s="45"/>
      <c r="HO573" s="45"/>
      <c r="HP573" s="45"/>
      <c r="HQ573" s="45"/>
      <c r="HR573" s="45"/>
      <c r="HS573" s="45"/>
      <c r="HT573" s="45"/>
      <c r="HU573" s="45"/>
      <c r="HV573" s="45"/>
      <c r="HW573" s="45"/>
      <c r="HX573" s="45"/>
      <c r="HY573" s="45"/>
    </row>
    <row r="574" spans="1:233" s="46" customFormat="1" ht="15" customHeight="1">
      <c r="A574" s="73" t="s">
        <v>44</v>
      </c>
      <c r="B574" s="26" t="s">
        <v>10</v>
      </c>
      <c r="C574" s="26" t="s">
        <v>13</v>
      </c>
      <c r="D574" s="26" t="s">
        <v>610</v>
      </c>
      <c r="E574" s="26" t="s">
        <v>67</v>
      </c>
      <c r="F574" s="26" t="s">
        <v>44</v>
      </c>
      <c r="G574" s="26" t="s">
        <v>215</v>
      </c>
      <c r="H574" s="26" t="s">
        <v>22</v>
      </c>
      <c r="I574" s="26" t="s">
        <v>641</v>
      </c>
      <c r="J574" s="26" t="s">
        <v>16</v>
      </c>
      <c r="K574" s="27" t="s">
        <v>28</v>
      </c>
      <c r="L574" s="26">
        <f t="shared" ref="L574:M574" si="150">L582+L590</f>
        <v>422</v>
      </c>
      <c r="M574" s="26">
        <f t="shared" si="150"/>
        <v>285</v>
      </c>
      <c r="N574" s="82">
        <f t="shared" si="141"/>
        <v>67.535545023696685</v>
      </c>
      <c r="O574" s="26">
        <f t="shared" ref="O574:P574" si="151">O582+O590</f>
        <v>423</v>
      </c>
      <c r="P574" s="26">
        <f t="shared" si="151"/>
        <v>79</v>
      </c>
      <c r="Q574" s="82">
        <f t="shared" si="143"/>
        <v>18.67612293144208</v>
      </c>
      <c r="R574" s="31">
        <v>28</v>
      </c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  <c r="BP574" s="45"/>
      <c r="BQ574" s="45"/>
      <c r="BR574" s="45"/>
      <c r="BS574" s="45"/>
      <c r="BT574" s="45"/>
      <c r="BU574" s="45"/>
      <c r="BV574" s="45"/>
      <c r="BW574" s="45"/>
      <c r="BX574" s="45"/>
      <c r="BY574" s="45"/>
      <c r="BZ574" s="45"/>
      <c r="CA574" s="45"/>
      <c r="CB574" s="45"/>
      <c r="CC574" s="45"/>
      <c r="CD574" s="45"/>
      <c r="CE574" s="45"/>
      <c r="CF574" s="45"/>
      <c r="CG574" s="45"/>
      <c r="CH574" s="45"/>
      <c r="CI574" s="45"/>
      <c r="CJ574" s="45"/>
      <c r="CK574" s="45"/>
      <c r="CL574" s="45"/>
      <c r="CM574" s="45"/>
      <c r="CN574" s="45"/>
      <c r="CO574" s="45"/>
      <c r="CP574" s="45"/>
      <c r="CQ574" s="45"/>
      <c r="CR574" s="45"/>
      <c r="CS574" s="45"/>
      <c r="CT574" s="45"/>
      <c r="CU574" s="45"/>
      <c r="CV574" s="45"/>
      <c r="CW574" s="45"/>
      <c r="CX574" s="45"/>
      <c r="CY574" s="45"/>
      <c r="CZ574" s="45"/>
      <c r="DA574" s="45"/>
      <c r="DB574" s="45"/>
      <c r="DC574" s="45"/>
      <c r="DD574" s="45"/>
      <c r="DE574" s="45"/>
      <c r="DF574" s="45"/>
      <c r="DG574" s="45"/>
      <c r="DH574" s="45"/>
      <c r="DI574" s="45"/>
      <c r="DJ574" s="45"/>
      <c r="DK574" s="45"/>
      <c r="DL574" s="45"/>
      <c r="DM574" s="45"/>
      <c r="DN574" s="45"/>
      <c r="DO574" s="45"/>
      <c r="DP574" s="45"/>
      <c r="DQ574" s="45"/>
      <c r="DR574" s="45"/>
      <c r="DS574" s="45"/>
      <c r="DT574" s="45"/>
      <c r="DU574" s="45"/>
      <c r="DV574" s="45"/>
      <c r="DW574" s="45"/>
      <c r="DX574" s="45"/>
      <c r="DY574" s="45"/>
      <c r="DZ574" s="45"/>
      <c r="EA574" s="45"/>
      <c r="EB574" s="45"/>
      <c r="EC574" s="45"/>
      <c r="ED574" s="45"/>
      <c r="EE574" s="45"/>
      <c r="EF574" s="45"/>
      <c r="EG574" s="45"/>
      <c r="EH574" s="45"/>
      <c r="EI574" s="45"/>
      <c r="EJ574" s="45"/>
      <c r="EK574" s="45"/>
      <c r="EL574" s="45"/>
      <c r="EM574" s="45"/>
      <c r="EN574" s="45"/>
      <c r="EO574" s="45"/>
      <c r="EP574" s="45"/>
      <c r="EQ574" s="45"/>
      <c r="ER574" s="45"/>
      <c r="ES574" s="45"/>
      <c r="ET574" s="45"/>
      <c r="EU574" s="45"/>
      <c r="EV574" s="45"/>
      <c r="EW574" s="45"/>
      <c r="EX574" s="45"/>
      <c r="EY574" s="45"/>
      <c r="EZ574" s="45"/>
      <c r="FA574" s="45"/>
      <c r="FB574" s="45"/>
      <c r="FC574" s="45"/>
      <c r="FD574" s="45"/>
      <c r="FE574" s="45"/>
      <c r="FF574" s="45"/>
      <c r="FG574" s="45"/>
      <c r="FH574" s="45"/>
      <c r="FI574" s="45"/>
      <c r="FJ574" s="45"/>
      <c r="FK574" s="45"/>
      <c r="FL574" s="45"/>
      <c r="FM574" s="45"/>
      <c r="FN574" s="45"/>
      <c r="FO574" s="45"/>
      <c r="FP574" s="45"/>
      <c r="FQ574" s="45"/>
      <c r="FR574" s="45"/>
      <c r="FS574" s="45"/>
      <c r="FT574" s="45"/>
      <c r="FU574" s="45"/>
      <c r="FV574" s="45"/>
      <c r="FW574" s="45"/>
      <c r="FX574" s="45"/>
      <c r="FY574" s="45"/>
      <c r="FZ574" s="45"/>
      <c r="GA574" s="45"/>
      <c r="GB574" s="45"/>
      <c r="GC574" s="45"/>
      <c r="GD574" s="45"/>
      <c r="GE574" s="45"/>
      <c r="GF574" s="45"/>
      <c r="GG574" s="45"/>
      <c r="GH574" s="45"/>
      <c r="GI574" s="45"/>
      <c r="GJ574" s="45"/>
      <c r="GK574" s="45"/>
      <c r="GL574" s="45"/>
      <c r="GM574" s="45"/>
      <c r="GN574" s="45"/>
      <c r="GO574" s="45"/>
      <c r="GP574" s="45"/>
      <c r="GQ574" s="45"/>
      <c r="GR574" s="45"/>
      <c r="GS574" s="45"/>
      <c r="GT574" s="45"/>
      <c r="GU574" s="45"/>
      <c r="GV574" s="45"/>
      <c r="GW574" s="45"/>
      <c r="GX574" s="45"/>
      <c r="GY574" s="45"/>
      <c r="GZ574" s="45"/>
      <c r="HA574" s="45"/>
      <c r="HB574" s="45"/>
      <c r="HC574" s="45"/>
      <c r="HD574" s="45"/>
      <c r="HE574" s="45"/>
      <c r="HF574" s="45"/>
      <c r="HG574" s="45"/>
      <c r="HH574" s="45"/>
      <c r="HI574" s="45"/>
      <c r="HJ574" s="45"/>
      <c r="HK574" s="45"/>
      <c r="HL574" s="45"/>
      <c r="HM574" s="45"/>
      <c r="HN574" s="45"/>
      <c r="HO574" s="45"/>
      <c r="HP574" s="45"/>
      <c r="HQ574" s="45"/>
      <c r="HR574" s="45"/>
      <c r="HS574" s="45"/>
      <c r="HT574" s="45"/>
      <c r="HU574" s="45"/>
      <c r="HV574" s="45"/>
      <c r="HW574" s="45"/>
      <c r="HX574" s="45"/>
      <c r="HY574" s="45"/>
    </row>
    <row r="575" spans="1:233" s="46" customFormat="1" ht="15" customHeight="1">
      <c r="A575" s="73" t="s">
        <v>44</v>
      </c>
      <c r="B575" s="26" t="s">
        <v>10</v>
      </c>
      <c r="C575" s="26" t="s">
        <v>13</v>
      </c>
      <c r="D575" s="26" t="s">
        <v>610</v>
      </c>
      <c r="E575" s="26" t="s">
        <v>67</v>
      </c>
      <c r="F575" s="26" t="s">
        <v>44</v>
      </c>
      <c r="G575" s="26" t="s">
        <v>215</v>
      </c>
      <c r="H575" s="26" t="s">
        <v>22</v>
      </c>
      <c r="I575" s="26" t="s">
        <v>641</v>
      </c>
      <c r="J575" s="26" t="s">
        <v>16</v>
      </c>
      <c r="K575" s="27" t="s">
        <v>72</v>
      </c>
      <c r="L575" s="26">
        <f t="shared" ref="L575:M575" si="152">L583+L591</f>
        <v>430</v>
      </c>
      <c r="M575" s="26">
        <f t="shared" si="152"/>
        <v>294</v>
      </c>
      <c r="N575" s="82">
        <f t="shared" si="141"/>
        <v>68.372093023255815</v>
      </c>
      <c r="O575" s="26">
        <f t="shared" ref="O575:P575" si="153">O583+O591</f>
        <v>430</v>
      </c>
      <c r="P575" s="26">
        <f t="shared" si="153"/>
        <v>117</v>
      </c>
      <c r="Q575" s="82">
        <f t="shared" si="143"/>
        <v>27.209302325581394</v>
      </c>
      <c r="R575" s="31">
        <v>28</v>
      </c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  <c r="BP575" s="45"/>
      <c r="BQ575" s="45"/>
      <c r="BR575" s="45"/>
      <c r="BS575" s="45"/>
      <c r="BT575" s="45"/>
      <c r="BU575" s="45"/>
      <c r="BV575" s="45"/>
      <c r="BW575" s="45"/>
      <c r="BX575" s="45"/>
      <c r="BY575" s="45"/>
      <c r="BZ575" s="45"/>
      <c r="CA575" s="45"/>
      <c r="CB575" s="45"/>
      <c r="CC575" s="45"/>
      <c r="CD575" s="45"/>
      <c r="CE575" s="45"/>
      <c r="CF575" s="45"/>
      <c r="CG575" s="45"/>
      <c r="CH575" s="45"/>
      <c r="CI575" s="45"/>
      <c r="CJ575" s="45"/>
      <c r="CK575" s="45"/>
      <c r="CL575" s="45"/>
      <c r="CM575" s="45"/>
      <c r="CN575" s="45"/>
      <c r="CO575" s="45"/>
      <c r="CP575" s="45"/>
      <c r="CQ575" s="45"/>
      <c r="CR575" s="45"/>
      <c r="CS575" s="45"/>
      <c r="CT575" s="45"/>
      <c r="CU575" s="45"/>
      <c r="CV575" s="45"/>
      <c r="CW575" s="45"/>
      <c r="CX575" s="45"/>
      <c r="CY575" s="45"/>
      <c r="CZ575" s="45"/>
      <c r="DA575" s="45"/>
      <c r="DB575" s="45"/>
      <c r="DC575" s="45"/>
      <c r="DD575" s="45"/>
      <c r="DE575" s="45"/>
      <c r="DF575" s="45"/>
      <c r="DG575" s="45"/>
      <c r="DH575" s="45"/>
      <c r="DI575" s="45"/>
      <c r="DJ575" s="45"/>
      <c r="DK575" s="45"/>
      <c r="DL575" s="45"/>
      <c r="DM575" s="45"/>
      <c r="DN575" s="45"/>
      <c r="DO575" s="45"/>
      <c r="DP575" s="45"/>
      <c r="DQ575" s="45"/>
      <c r="DR575" s="45"/>
      <c r="DS575" s="45"/>
      <c r="DT575" s="45"/>
      <c r="DU575" s="45"/>
      <c r="DV575" s="45"/>
      <c r="DW575" s="45"/>
      <c r="DX575" s="45"/>
      <c r="DY575" s="45"/>
      <c r="DZ575" s="45"/>
      <c r="EA575" s="45"/>
      <c r="EB575" s="45"/>
      <c r="EC575" s="45"/>
      <c r="ED575" s="45"/>
      <c r="EE575" s="45"/>
      <c r="EF575" s="45"/>
      <c r="EG575" s="45"/>
      <c r="EH575" s="45"/>
      <c r="EI575" s="45"/>
      <c r="EJ575" s="45"/>
      <c r="EK575" s="45"/>
      <c r="EL575" s="45"/>
      <c r="EM575" s="45"/>
      <c r="EN575" s="45"/>
      <c r="EO575" s="45"/>
      <c r="EP575" s="45"/>
      <c r="EQ575" s="45"/>
      <c r="ER575" s="45"/>
      <c r="ES575" s="45"/>
      <c r="ET575" s="45"/>
      <c r="EU575" s="45"/>
      <c r="EV575" s="45"/>
      <c r="EW575" s="45"/>
      <c r="EX575" s="45"/>
      <c r="EY575" s="45"/>
      <c r="EZ575" s="45"/>
      <c r="FA575" s="45"/>
      <c r="FB575" s="45"/>
      <c r="FC575" s="45"/>
      <c r="FD575" s="45"/>
      <c r="FE575" s="45"/>
      <c r="FF575" s="45"/>
      <c r="FG575" s="45"/>
      <c r="FH575" s="45"/>
      <c r="FI575" s="45"/>
      <c r="FJ575" s="45"/>
      <c r="FK575" s="45"/>
      <c r="FL575" s="45"/>
      <c r="FM575" s="45"/>
      <c r="FN575" s="45"/>
      <c r="FO575" s="45"/>
      <c r="FP575" s="45"/>
      <c r="FQ575" s="45"/>
      <c r="FR575" s="45"/>
      <c r="FS575" s="45"/>
      <c r="FT575" s="45"/>
      <c r="FU575" s="45"/>
      <c r="FV575" s="45"/>
      <c r="FW575" s="45"/>
      <c r="FX575" s="45"/>
      <c r="FY575" s="45"/>
      <c r="FZ575" s="45"/>
      <c r="GA575" s="45"/>
      <c r="GB575" s="45"/>
      <c r="GC575" s="45"/>
      <c r="GD575" s="45"/>
      <c r="GE575" s="45"/>
      <c r="GF575" s="45"/>
      <c r="GG575" s="45"/>
      <c r="GH575" s="45"/>
      <c r="GI575" s="45"/>
      <c r="GJ575" s="45"/>
      <c r="GK575" s="45"/>
      <c r="GL575" s="45"/>
      <c r="GM575" s="45"/>
      <c r="GN575" s="45"/>
      <c r="GO575" s="45"/>
      <c r="GP575" s="45"/>
      <c r="GQ575" s="45"/>
      <c r="GR575" s="45"/>
      <c r="GS575" s="45"/>
      <c r="GT575" s="45"/>
      <c r="GU575" s="45"/>
      <c r="GV575" s="45"/>
      <c r="GW575" s="45"/>
      <c r="GX575" s="45"/>
      <c r="GY575" s="45"/>
      <c r="GZ575" s="45"/>
      <c r="HA575" s="45"/>
      <c r="HB575" s="45"/>
      <c r="HC575" s="45"/>
      <c r="HD575" s="45"/>
      <c r="HE575" s="45"/>
      <c r="HF575" s="45"/>
      <c r="HG575" s="45"/>
      <c r="HH575" s="45"/>
      <c r="HI575" s="45"/>
      <c r="HJ575" s="45"/>
      <c r="HK575" s="45"/>
      <c r="HL575" s="45"/>
      <c r="HM575" s="45"/>
      <c r="HN575" s="45"/>
      <c r="HO575" s="45"/>
      <c r="HP575" s="45"/>
      <c r="HQ575" s="45"/>
      <c r="HR575" s="45"/>
      <c r="HS575" s="45"/>
      <c r="HT575" s="45"/>
      <c r="HU575" s="45"/>
      <c r="HV575" s="45"/>
      <c r="HW575" s="45"/>
      <c r="HX575" s="45"/>
      <c r="HY575" s="45"/>
    </row>
    <row r="576" spans="1:233" s="46" customFormat="1" ht="15" customHeight="1">
      <c r="A576" s="73" t="s">
        <v>44</v>
      </c>
      <c r="B576" s="26" t="s">
        <v>10</v>
      </c>
      <c r="C576" s="26" t="s">
        <v>13</v>
      </c>
      <c r="D576" s="26" t="s">
        <v>610</v>
      </c>
      <c r="E576" s="26" t="s">
        <v>67</v>
      </c>
      <c r="F576" s="26" t="s">
        <v>44</v>
      </c>
      <c r="G576" s="26" t="s">
        <v>215</v>
      </c>
      <c r="H576" s="26" t="s">
        <v>22</v>
      </c>
      <c r="I576" s="26" t="s">
        <v>641</v>
      </c>
      <c r="J576" s="26" t="s">
        <v>16</v>
      </c>
      <c r="K576" s="27" t="s">
        <v>73</v>
      </c>
      <c r="L576" s="26">
        <f t="shared" ref="L576:M576" si="154">L584+L592</f>
        <v>425</v>
      </c>
      <c r="M576" s="26">
        <f t="shared" si="154"/>
        <v>311</v>
      </c>
      <c r="N576" s="82">
        <f t="shared" si="141"/>
        <v>73.17647058823529</v>
      </c>
      <c r="O576" s="26">
        <f t="shared" ref="O576:P576" si="155">O584+O592</f>
        <v>426</v>
      </c>
      <c r="P576" s="26">
        <f t="shared" si="155"/>
        <v>125</v>
      </c>
      <c r="Q576" s="82">
        <f t="shared" si="143"/>
        <v>29.342723004694836</v>
      </c>
      <c r="R576" s="31">
        <v>28</v>
      </c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  <c r="BP576" s="45"/>
      <c r="BQ576" s="45"/>
      <c r="BR576" s="45"/>
      <c r="BS576" s="45"/>
      <c r="BT576" s="45"/>
      <c r="BU576" s="45"/>
      <c r="BV576" s="45"/>
      <c r="BW576" s="45"/>
      <c r="BX576" s="45"/>
      <c r="BY576" s="45"/>
      <c r="BZ576" s="45"/>
      <c r="CA576" s="45"/>
      <c r="CB576" s="45"/>
      <c r="CC576" s="45"/>
      <c r="CD576" s="45"/>
      <c r="CE576" s="45"/>
      <c r="CF576" s="45"/>
      <c r="CG576" s="45"/>
      <c r="CH576" s="45"/>
      <c r="CI576" s="45"/>
      <c r="CJ576" s="45"/>
      <c r="CK576" s="45"/>
      <c r="CL576" s="45"/>
      <c r="CM576" s="45"/>
      <c r="CN576" s="45"/>
      <c r="CO576" s="45"/>
      <c r="CP576" s="45"/>
      <c r="CQ576" s="45"/>
      <c r="CR576" s="45"/>
      <c r="CS576" s="45"/>
      <c r="CT576" s="45"/>
      <c r="CU576" s="45"/>
      <c r="CV576" s="45"/>
      <c r="CW576" s="45"/>
      <c r="CX576" s="45"/>
      <c r="CY576" s="45"/>
      <c r="CZ576" s="45"/>
      <c r="DA576" s="45"/>
      <c r="DB576" s="45"/>
      <c r="DC576" s="45"/>
      <c r="DD576" s="45"/>
      <c r="DE576" s="45"/>
      <c r="DF576" s="45"/>
      <c r="DG576" s="45"/>
      <c r="DH576" s="45"/>
      <c r="DI576" s="45"/>
      <c r="DJ576" s="45"/>
      <c r="DK576" s="45"/>
      <c r="DL576" s="45"/>
      <c r="DM576" s="45"/>
      <c r="DN576" s="45"/>
      <c r="DO576" s="45"/>
      <c r="DP576" s="45"/>
      <c r="DQ576" s="45"/>
      <c r="DR576" s="45"/>
      <c r="DS576" s="45"/>
      <c r="DT576" s="45"/>
      <c r="DU576" s="45"/>
      <c r="DV576" s="45"/>
      <c r="DW576" s="45"/>
      <c r="DX576" s="45"/>
      <c r="DY576" s="45"/>
      <c r="DZ576" s="45"/>
      <c r="EA576" s="45"/>
      <c r="EB576" s="45"/>
      <c r="EC576" s="45"/>
      <c r="ED576" s="45"/>
      <c r="EE576" s="45"/>
      <c r="EF576" s="45"/>
      <c r="EG576" s="45"/>
      <c r="EH576" s="45"/>
      <c r="EI576" s="45"/>
      <c r="EJ576" s="45"/>
      <c r="EK576" s="45"/>
      <c r="EL576" s="45"/>
      <c r="EM576" s="45"/>
      <c r="EN576" s="45"/>
      <c r="EO576" s="45"/>
      <c r="EP576" s="45"/>
      <c r="EQ576" s="45"/>
      <c r="ER576" s="45"/>
      <c r="ES576" s="45"/>
      <c r="ET576" s="45"/>
      <c r="EU576" s="45"/>
      <c r="EV576" s="45"/>
      <c r="EW576" s="45"/>
      <c r="EX576" s="45"/>
      <c r="EY576" s="45"/>
      <c r="EZ576" s="45"/>
      <c r="FA576" s="45"/>
      <c r="FB576" s="45"/>
      <c r="FC576" s="45"/>
      <c r="FD576" s="45"/>
      <c r="FE576" s="45"/>
      <c r="FF576" s="45"/>
      <c r="FG576" s="45"/>
      <c r="FH576" s="45"/>
      <c r="FI576" s="45"/>
      <c r="FJ576" s="45"/>
      <c r="FK576" s="45"/>
      <c r="FL576" s="45"/>
      <c r="FM576" s="45"/>
      <c r="FN576" s="45"/>
      <c r="FO576" s="45"/>
      <c r="FP576" s="45"/>
      <c r="FQ576" s="45"/>
      <c r="FR576" s="45"/>
      <c r="FS576" s="45"/>
      <c r="FT576" s="45"/>
      <c r="FU576" s="45"/>
      <c r="FV576" s="45"/>
      <c r="FW576" s="45"/>
      <c r="FX576" s="45"/>
      <c r="FY576" s="45"/>
      <c r="FZ576" s="45"/>
      <c r="GA576" s="45"/>
      <c r="GB576" s="45"/>
      <c r="GC576" s="45"/>
      <c r="GD576" s="45"/>
      <c r="GE576" s="45"/>
      <c r="GF576" s="45"/>
      <c r="GG576" s="45"/>
      <c r="GH576" s="45"/>
      <c r="GI576" s="45"/>
      <c r="GJ576" s="45"/>
      <c r="GK576" s="45"/>
      <c r="GL576" s="45"/>
      <c r="GM576" s="45"/>
      <c r="GN576" s="45"/>
      <c r="GO576" s="45"/>
      <c r="GP576" s="45"/>
      <c r="GQ576" s="45"/>
      <c r="GR576" s="45"/>
      <c r="GS576" s="45"/>
      <c r="GT576" s="45"/>
      <c r="GU576" s="45"/>
      <c r="GV576" s="45"/>
      <c r="GW576" s="45"/>
      <c r="GX576" s="45"/>
      <c r="GY576" s="45"/>
      <c r="GZ576" s="45"/>
      <c r="HA576" s="45"/>
      <c r="HB576" s="45"/>
      <c r="HC576" s="45"/>
      <c r="HD576" s="45"/>
      <c r="HE576" s="45"/>
      <c r="HF576" s="45"/>
      <c r="HG576" s="45"/>
      <c r="HH576" s="45"/>
      <c r="HI576" s="45"/>
      <c r="HJ576" s="45"/>
      <c r="HK576" s="45"/>
      <c r="HL576" s="45"/>
      <c r="HM576" s="45"/>
      <c r="HN576" s="45"/>
      <c r="HO576" s="45"/>
      <c r="HP576" s="45"/>
      <c r="HQ576" s="45"/>
      <c r="HR576" s="45"/>
      <c r="HS576" s="45"/>
      <c r="HT576" s="45"/>
      <c r="HU576" s="45"/>
      <c r="HV576" s="45"/>
      <c r="HW576" s="45"/>
      <c r="HX576" s="45"/>
      <c r="HY576" s="45"/>
    </row>
    <row r="577" spans="1:233" s="46" customFormat="1" ht="15" customHeight="1">
      <c r="A577" s="73" t="s">
        <v>44</v>
      </c>
      <c r="B577" s="26" t="s">
        <v>10</v>
      </c>
      <c r="C577" s="26" t="s">
        <v>13</v>
      </c>
      <c r="D577" s="26" t="s">
        <v>610</v>
      </c>
      <c r="E577" s="26" t="s">
        <v>67</v>
      </c>
      <c r="F577" s="26" t="s">
        <v>44</v>
      </c>
      <c r="G577" s="26" t="s">
        <v>215</v>
      </c>
      <c r="H577" s="26" t="s">
        <v>22</v>
      </c>
      <c r="I577" s="26" t="s">
        <v>641</v>
      </c>
      <c r="J577" s="26" t="s">
        <v>23</v>
      </c>
      <c r="K577" s="27" t="s">
        <v>142</v>
      </c>
      <c r="L577" s="26">
        <f>SUM(L578:L584)</f>
        <v>1537</v>
      </c>
      <c r="M577" s="26">
        <f t="shared" ref="M577" si="156">SUM(M578:M584)</f>
        <v>806</v>
      </c>
      <c r="N577" s="82">
        <f>M577*100/L577</f>
        <v>52.439817826935588</v>
      </c>
      <c r="O577" s="26">
        <f t="shared" ref="O577" si="157">SUM(O578:O584)</f>
        <v>1330</v>
      </c>
      <c r="P577" s="26">
        <f t="shared" ref="P577" si="158">SUM(P578:P584)</f>
        <v>149</v>
      </c>
      <c r="Q577" s="82">
        <f>P577*100/O577</f>
        <v>11.203007518796992</v>
      </c>
      <c r="R577" s="31">
        <v>28</v>
      </c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  <c r="BP577" s="45"/>
      <c r="BQ577" s="45"/>
      <c r="BR577" s="45"/>
      <c r="BS577" s="45"/>
      <c r="BT577" s="45"/>
      <c r="BU577" s="45"/>
      <c r="BV577" s="45"/>
      <c r="BW577" s="45"/>
      <c r="BX577" s="45"/>
      <c r="BY577" s="45"/>
      <c r="BZ577" s="45"/>
      <c r="CA577" s="45"/>
      <c r="CB577" s="45"/>
      <c r="CC577" s="45"/>
      <c r="CD577" s="45"/>
      <c r="CE577" s="45"/>
      <c r="CF577" s="45"/>
      <c r="CG577" s="45"/>
      <c r="CH577" s="45"/>
      <c r="CI577" s="45"/>
      <c r="CJ577" s="45"/>
      <c r="CK577" s="45"/>
      <c r="CL577" s="45"/>
      <c r="CM577" s="45"/>
      <c r="CN577" s="45"/>
      <c r="CO577" s="45"/>
      <c r="CP577" s="45"/>
      <c r="CQ577" s="45"/>
      <c r="CR577" s="45"/>
      <c r="CS577" s="45"/>
      <c r="CT577" s="45"/>
      <c r="CU577" s="45"/>
      <c r="CV577" s="45"/>
      <c r="CW577" s="45"/>
      <c r="CX577" s="45"/>
      <c r="CY577" s="45"/>
      <c r="CZ577" s="45"/>
      <c r="DA577" s="45"/>
      <c r="DB577" s="45"/>
      <c r="DC577" s="45"/>
      <c r="DD577" s="45"/>
      <c r="DE577" s="45"/>
      <c r="DF577" s="45"/>
      <c r="DG577" s="45"/>
      <c r="DH577" s="45"/>
      <c r="DI577" s="45"/>
      <c r="DJ577" s="45"/>
      <c r="DK577" s="45"/>
      <c r="DL577" s="45"/>
      <c r="DM577" s="45"/>
      <c r="DN577" s="45"/>
      <c r="DO577" s="45"/>
      <c r="DP577" s="45"/>
      <c r="DQ577" s="45"/>
      <c r="DR577" s="45"/>
      <c r="DS577" s="45"/>
      <c r="DT577" s="45"/>
      <c r="DU577" s="45"/>
      <c r="DV577" s="45"/>
      <c r="DW577" s="45"/>
      <c r="DX577" s="45"/>
      <c r="DY577" s="45"/>
      <c r="DZ577" s="45"/>
      <c r="EA577" s="45"/>
      <c r="EB577" s="45"/>
      <c r="EC577" s="45"/>
      <c r="ED577" s="45"/>
      <c r="EE577" s="45"/>
      <c r="EF577" s="45"/>
      <c r="EG577" s="45"/>
      <c r="EH577" s="45"/>
      <c r="EI577" s="45"/>
      <c r="EJ577" s="45"/>
      <c r="EK577" s="45"/>
      <c r="EL577" s="45"/>
      <c r="EM577" s="45"/>
      <c r="EN577" s="45"/>
      <c r="EO577" s="45"/>
      <c r="EP577" s="45"/>
      <c r="EQ577" s="45"/>
      <c r="ER577" s="45"/>
      <c r="ES577" s="45"/>
      <c r="ET577" s="45"/>
      <c r="EU577" s="45"/>
      <c r="EV577" s="45"/>
      <c r="EW577" s="45"/>
      <c r="EX577" s="45"/>
      <c r="EY577" s="45"/>
      <c r="EZ577" s="45"/>
      <c r="FA577" s="45"/>
      <c r="FB577" s="45"/>
      <c r="FC577" s="45"/>
      <c r="FD577" s="45"/>
      <c r="FE577" s="45"/>
      <c r="FF577" s="45"/>
      <c r="FG577" s="45"/>
      <c r="FH577" s="45"/>
      <c r="FI577" s="45"/>
      <c r="FJ577" s="45"/>
      <c r="FK577" s="45"/>
      <c r="FL577" s="45"/>
      <c r="FM577" s="45"/>
      <c r="FN577" s="45"/>
      <c r="FO577" s="45"/>
      <c r="FP577" s="45"/>
      <c r="FQ577" s="45"/>
      <c r="FR577" s="45"/>
      <c r="FS577" s="45"/>
      <c r="FT577" s="45"/>
      <c r="FU577" s="45"/>
      <c r="FV577" s="45"/>
      <c r="FW577" s="45"/>
      <c r="FX577" s="45"/>
      <c r="FY577" s="45"/>
      <c r="FZ577" s="45"/>
      <c r="GA577" s="45"/>
      <c r="GB577" s="45"/>
      <c r="GC577" s="45"/>
      <c r="GD577" s="45"/>
      <c r="GE577" s="45"/>
      <c r="GF577" s="45"/>
      <c r="GG577" s="45"/>
      <c r="GH577" s="45"/>
      <c r="GI577" s="45"/>
      <c r="GJ577" s="45"/>
      <c r="GK577" s="45"/>
      <c r="GL577" s="45"/>
      <c r="GM577" s="45"/>
      <c r="GN577" s="45"/>
      <c r="GO577" s="45"/>
      <c r="GP577" s="45"/>
      <c r="GQ577" s="45"/>
      <c r="GR577" s="45"/>
      <c r="GS577" s="45"/>
      <c r="GT577" s="45"/>
      <c r="GU577" s="45"/>
      <c r="GV577" s="45"/>
      <c r="GW577" s="45"/>
      <c r="GX577" s="45"/>
      <c r="GY577" s="45"/>
      <c r="GZ577" s="45"/>
      <c r="HA577" s="45"/>
      <c r="HB577" s="45"/>
      <c r="HC577" s="45"/>
      <c r="HD577" s="45"/>
      <c r="HE577" s="45"/>
      <c r="HF577" s="45"/>
      <c r="HG577" s="45"/>
      <c r="HH577" s="45"/>
      <c r="HI577" s="45"/>
      <c r="HJ577" s="45"/>
      <c r="HK577" s="45"/>
      <c r="HL577" s="45"/>
      <c r="HM577" s="45"/>
      <c r="HN577" s="45"/>
      <c r="HO577" s="45"/>
      <c r="HP577" s="45"/>
      <c r="HQ577" s="45"/>
      <c r="HR577" s="45"/>
      <c r="HS577" s="45"/>
      <c r="HT577" s="45"/>
      <c r="HU577" s="45"/>
      <c r="HV577" s="45"/>
      <c r="HW577" s="45"/>
      <c r="HX577" s="45"/>
      <c r="HY577" s="45"/>
    </row>
    <row r="578" spans="1:233" s="46" customFormat="1" ht="15" customHeight="1">
      <c r="A578" s="73" t="s">
        <v>44</v>
      </c>
      <c r="B578" s="26" t="s">
        <v>10</v>
      </c>
      <c r="C578" s="26" t="s">
        <v>13</v>
      </c>
      <c r="D578" s="26" t="s">
        <v>610</v>
      </c>
      <c r="E578" s="26" t="s">
        <v>67</v>
      </c>
      <c r="F578" s="26" t="s">
        <v>44</v>
      </c>
      <c r="G578" s="26" t="s">
        <v>215</v>
      </c>
      <c r="H578" s="26" t="s">
        <v>22</v>
      </c>
      <c r="I578" s="26" t="s">
        <v>641</v>
      </c>
      <c r="J578" s="26" t="s">
        <v>23</v>
      </c>
      <c r="K578" s="27" t="s">
        <v>24</v>
      </c>
      <c r="L578" s="26">
        <v>337</v>
      </c>
      <c r="M578" s="28">
        <v>111</v>
      </c>
      <c r="N578" s="82">
        <f>M578*100/L578</f>
        <v>32.937685459940653</v>
      </c>
      <c r="O578" s="28">
        <v>127</v>
      </c>
      <c r="P578" s="28">
        <v>2</v>
      </c>
      <c r="Q578" s="82">
        <f>P578*100/O578</f>
        <v>1.5748031496062993</v>
      </c>
      <c r="R578" s="31">
        <v>28</v>
      </c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  <c r="BP578" s="45"/>
      <c r="BQ578" s="45"/>
      <c r="BR578" s="45"/>
      <c r="BS578" s="45"/>
      <c r="BT578" s="45"/>
      <c r="BU578" s="45"/>
      <c r="BV578" s="45"/>
      <c r="BW578" s="45"/>
      <c r="BX578" s="45"/>
      <c r="BY578" s="45"/>
      <c r="BZ578" s="45"/>
      <c r="CA578" s="45"/>
      <c r="CB578" s="45"/>
      <c r="CC578" s="45"/>
      <c r="CD578" s="45"/>
      <c r="CE578" s="45"/>
      <c r="CF578" s="45"/>
      <c r="CG578" s="45"/>
      <c r="CH578" s="45"/>
      <c r="CI578" s="45"/>
      <c r="CJ578" s="45"/>
      <c r="CK578" s="45"/>
      <c r="CL578" s="45"/>
      <c r="CM578" s="45"/>
      <c r="CN578" s="45"/>
      <c r="CO578" s="45"/>
      <c r="CP578" s="45"/>
      <c r="CQ578" s="45"/>
      <c r="CR578" s="45"/>
      <c r="CS578" s="45"/>
      <c r="CT578" s="45"/>
      <c r="CU578" s="45"/>
      <c r="CV578" s="45"/>
      <c r="CW578" s="45"/>
      <c r="CX578" s="45"/>
      <c r="CY578" s="45"/>
      <c r="CZ578" s="45"/>
      <c r="DA578" s="45"/>
      <c r="DB578" s="45"/>
      <c r="DC578" s="45"/>
      <c r="DD578" s="45"/>
      <c r="DE578" s="45"/>
      <c r="DF578" s="45"/>
      <c r="DG578" s="45"/>
      <c r="DH578" s="45"/>
      <c r="DI578" s="45"/>
      <c r="DJ578" s="45"/>
      <c r="DK578" s="45"/>
      <c r="DL578" s="45"/>
      <c r="DM578" s="45"/>
      <c r="DN578" s="45"/>
      <c r="DO578" s="45"/>
      <c r="DP578" s="45"/>
      <c r="DQ578" s="45"/>
      <c r="DR578" s="45"/>
      <c r="DS578" s="45"/>
      <c r="DT578" s="45"/>
      <c r="DU578" s="45"/>
      <c r="DV578" s="45"/>
      <c r="DW578" s="45"/>
      <c r="DX578" s="45"/>
      <c r="DY578" s="45"/>
      <c r="DZ578" s="45"/>
      <c r="EA578" s="45"/>
      <c r="EB578" s="45"/>
      <c r="EC578" s="45"/>
      <c r="ED578" s="45"/>
      <c r="EE578" s="45"/>
      <c r="EF578" s="45"/>
      <c r="EG578" s="45"/>
      <c r="EH578" s="45"/>
      <c r="EI578" s="45"/>
      <c r="EJ578" s="45"/>
      <c r="EK578" s="45"/>
      <c r="EL578" s="45"/>
      <c r="EM578" s="45"/>
      <c r="EN578" s="45"/>
      <c r="EO578" s="45"/>
      <c r="EP578" s="45"/>
      <c r="EQ578" s="45"/>
      <c r="ER578" s="45"/>
      <c r="ES578" s="45"/>
      <c r="ET578" s="45"/>
      <c r="EU578" s="45"/>
      <c r="EV578" s="45"/>
      <c r="EW578" s="45"/>
      <c r="EX578" s="45"/>
      <c r="EY578" s="45"/>
      <c r="EZ578" s="45"/>
      <c r="FA578" s="45"/>
      <c r="FB578" s="45"/>
      <c r="FC578" s="45"/>
      <c r="FD578" s="45"/>
      <c r="FE578" s="45"/>
      <c r="FF578" s="45"/>
      <c r="FG578" s="45"/>
      <c r="FH578" s="45"/>
      <c r="FI578" s="45"/>
      <c r="FJ578" s="45"/>
      <c r="FK578" s="45"/>
      <c r="FL578" s="45"/>
      <c r="FM578" s="45"/>
      <c r="FN578" s="45"/>
      <c r="FO578" s="45"/>
      <c r="FP578" s="45"/>
      <c r="FQ578" s="45"/>
      <c r="FR578" s="45"/>
      <c r="FS578" s="45"/>
      <c r="FT578" s="45"/>
      <c r="FU578" s="45"/>
      <c r="FV578" s="45"/>
      <c r="FW578" s="45"/>
      <c r="FX578" s="45"/>
      <c r="FY578" s="45"/>
      <c r="FZ578" s="45"/>
      <c r="GA578" s="45"/>
      <c r="GB578" s="45"/>
      <c r="GC578" s="45"/>
      <c r="GD578" s="45"/>
      <c r="GE578" s="45"/>
      <c r="GF578" s="45"/>
      <c r="GG578" s="45"/>
      <c r="GH578" s="45"/>
      <c r="GI578" s="45"/>
      <c r="GJ578" s="45"/>
      <c r="GK578" s="45"/>
      <c r="GL578" s="45"/>
      <c r="GM578" s="45"/>
      <c r="GN578" s="45"/>
      <c r="GO578" s="45"/>
      <c r="GP578" s="45"/>
      <c r="GQ578" s="45"/>
      <c r="GR578" s="45"/>
      <c r="GS578" s="45"/>
      <c r="GT578" s="45"/>
      <c r="GU578" s="45"/>
      <c r="GV578" s="45"/>
      <c r="GW578" s="45"/>
      <c r="GX578" s="45"/>
      <c r="GY578" s="45"/>
      <c r="GZ578" s="45"/>
      <c r="HA578" s="45"/>
      <c r="HB578" s="45"/>
      <c r="HC578" s="45"/>
      <c r="HD578" s="45"/>
      <c r="HE578" s="45"/>
      <c r="HF578" s="45"/>
      <c r="HG578" s="45"/>
      <c r="HH578" s="45"/>
      <c r="HI578" s="45"/>
      <c r="HJ578" s="45"/>
      <c r="HK578" s="45"/>
      <c r="HL578" s="45"/>
      <c r="HM578" s="45"/>
      <c r="HN578" s="45"/>
      <c r="HO578" s="45"/>
      <c r="HP578" s="45"/>
      <c r="HQ578" s="45"/>
      <c r="HR578" s="45"/>
      <c r="HS578" s="45"/>
      <c r="HT578" s="45"/>
      <c r="HU578" s="45"/>
      <c r="HV578" s="45"/>
      <c r="HW578" s="45"/>
      <c r="HX578" s="45"/>
      <c r="HY578" s="45"/>
    </row>
    <row r="579" spans="1:233" s="46" customFormat="1" ht="15" customHeight="1">
      <c r="A579" s="73" t="s">
        <v>44</v>
      </c>
      <c r="B579" s="26" t="s">
        <v>10</v>
      </c>
      <c r="C579" s="26" t="s">
        <v>13</v>
      </c>
      <c r="D579" s="26" t="s">
        <v>610</v>
      </c>
      <c r="E579" s="26" t="s">
        <v>67</v>
      </c>
      <c r="F579" s="26" t="s">
        <v>44</v>
      </c>
      <c r="G579" s="26" t="s">
        <v>215</v>
      </c>
      <c r="H579" s="26" t="s">
        <v>22</v>
      </c>
      <c r="I579" s="26" t="s">
        <v>641</v>
      </c>
      <c r="J579" s="26" t="s">
        <v>23</v>
      </c>
      <c r="K579" s="27" t="s">
        <v>25</v>
      </c>
      <c r="L579" s="26">
        <v>183</v>
      </c>
      <c r="M579" s="28">
        <v>76</v>
      </c>
      <c r="N579" s="82">
        <f t="shared" ref="N579:N584" si="159">M579*100/L579</f>
        <v>41.530054644808743</v>
      </c>
      <c r="O579" s="28">
        <v>183</v>
      </c>
      <c r="P579" s="28">
        <v>8</v>
      </c>
      <c r="Q579" s="82">
        <f t="shared" ref="Q579:Q584" si="160">P579*100/O579</f>
        <v>4.3715846994535523</v>
      </c>
      <c r="R579" s="31">
        <v>28</v>
      </c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  <c r="BP579" s="45"/>
      <c r="BQ579" s="45"/>
      <c r="BR579" s="45"/>
      <c r="BS579" s="45"/>
      <c r="BT579" s="45"/>
      <c r="BU579" s="45"/>
      <c r="BV579" s="45"/>
      <c r="BW579" s="45"/>
      <c r="BX579" s="45"/>
      <c r="BY579" s="45"/>
      <c r="BZ579" s="45"/>
      <c r="CA579" s="45"/>
      <c r="CB579" s="45"/>
      <c r="CC579" s="45"/>
      <c r="CD579" s="45"/>
      <c r="CE579" s="45"/>
      <c r="CF579" s="45"/>
      <c r="CG579" s="45"/>
      <c r="CH579" s="45"/>
      <c r="CI579" s="45"/>
      <c r="CJ579" s="45"/>
      <c r="CK579" s="45"/>
      <c r="CL579" s="45"/>
      <c r="CM579" s="45"/>
      <c r="CN579" s="45"/>
      <c r="CO579" s="45"/>
      <c r="CP579" s="45"/>
      <c r="CQ579" s="45"/>
      <c r="CR579" s="45"/>
      <c r="CS579" s="45"/>
      <c r="CT579" s="45"/>
      <c r="CU579" s="45"/>
      <c r="CV579" s="45"/>
      <c r="CW579" s="45"/>
      <c r="CX579" s="45"/>
      <c r="CY579" s="45"/>
      <c r="CZ579" s="45"/>
      <c r="DA579" s="45"/>
      <c r="DB579" s="45"/>
      <c r="DC579" s="45"/>
      <c r="DD579" s="45"/>
      <c r="DE579" s="45"/>
      <c r="DF579" s="45"/>
      <c r="DG579" s="45"/>
      <c r="DH579" s="45"/>
      <c r="DI579" s="45"/>
      <c r="DJ579" s="45"/>
      <c r="DK579" s="45"/>
      <c r="DL579" s="45"/>
      <c r="DM579" s="45"/>
      <c r="DN579" s="45"/>
      <c r="DO579" s="45"/>
      <c r="DP579" s="45"/>
      <c r="DQ579" s="45"/>
      <c r="DR579" s="45"/>
      <c r="DS579" s="45"/>
      <c r="DT579" s="45"/>
      <c r="DU579" s="45"/>
      <c r="DV579" s="45"/>
      <c r="DW579" s="45"/>
      <c r="DX579" s="45"/>
      <c r="DY579" s="45"/>
      <c r="DZ579" s="45"/>
      <c r="EA579" s="45"/>
      <c r="EB579" s="45"/>
      <c r="EC579" s="45"/>
      <c r="ED579" s="45"/>
      <c r="EE579" s="45"/>
      <c r="EF579" s="45"/>
      <c r="EG579" s="45"/>
      <c r="EH579" s="45"/>
      <c r="EI579" s="45"/>
      <c r="EJ579" s="45"/>
      <c r="EK579" s="45"/>
      <c r="EL579" s="45"/>
      <c r="EM579" s="45"/>
      <c r="EN579" s="45"/>
      <c r="EO579" s="45"/>
      <c r="EP579" s="45"/>
      <c r="EQ579" s="45"/>
      <c r="ER579" s="45"/>
      <c r="ES579" s="45"/>
      <c r="ET579" s="45"/>
      <c r="EU579" s="45"/>
      <c r="EV579" s="45"/>
      <c r="EW579" s="45"/>
      <c r="EX579" s="45"/>
      <c r="EY579" s="45"/>
      <c r="EZ579" s="45"/>
      <c r="FA579" s="45"/>
      <c r="FB579" s="45"/>
      <c r="FC579" s="45"/>
      <c r="FD579" s="45"/>
      <c r="FE579" s="45"/>
      <c r="FF579" s="45"/>
      <c r="FG579" s="45"/>
      <c r="FH579" s="45"/>
      <c r="FI579" s="45"/>
      <c r="FJ579" s="45"/>
      <c r="FK579" s="45"/>
      <c r="FL579" s="45"/>
      <c r="FM579" s="45"/>
      <c r="FN579" s="45"/>
      <c r="FO579" s="45"/>
      <c r="FP579" s="45"/>
      <c r="FQ579" s="45"/>
      <c r="FR579" s="45"/>
      <c r="FS579" s="45"/>
      <c r="FT579" s="45"/>
      <c r="FU579" s="45"/>
      <c r="FV579" s="45"/>
      <c r="FW579" s="45"/>
      <c r="FX579" s="45"/>
      <c r="FY579" s="45"/>
      <c r="FZ579" s="45"/>
      <c r="GA579" s="45"/>
      <c r="GB579" s="45"/>
      <c r="GC579" s="45"/>
      <c r="GD579" s="45"/>
      <c r="GE579" s="45"/>
      <c r="GF579" s="45"/>
      <c r="GG579" s="45"/>
      <c r="GH579" s="45"/>
      <c r="GI579" s="45"/>
      <c r="GJ579" s="45"/>
      <c r="GK579" s="45"/>
      <c r="GL579" s="45"/>
      <c r="GM579" s="45"/>
      <c r="GN579" s="45"/>
      <c r="GO579" s="45"/>
      <c r="GP579" s="45"/>
      <c r="GQ579" s="45"/>
      <c r="GR579" s="45"/>
      <c r="GS579" s="45"/>
      <c r="GT579" s="45"/>
      <c r="GU579" s="45"/>
      <c r="GV579" s="45"/>
      <c r="GW579" s="45"/>
      <c r="GX579" s="45"/>
      <c r="GY579" s="45"/>
      <c r="GZ579" s="45"/>
      <c r="HA579" s="45"/>
      <c r="HB579" s="45"/>
      <c r="HC579" s="45"/>
      <c r="HD579" s="45"/>
      <c r="HE579" s="45"/>
      <c r="HF579" s="45"/>
      <c r="HG579" s="45"/>
      <c r="HH579" s="45"/>
      <c r="HI579" s="45"/>
      <c r="HJ579" s="45"/>
      <c r="HK579" s="45"/>
      <c r="HL579" s="45"/>
      <c r="HM579" s="45"/>
      <c r="HN579" s="45"/>
      <c r="HO579" s="45"/>
      <c r="HP579" s="45"/>
      <c r="HQ579" s="45"/>
      <c r="HR579" s="45"/>
      <c r="HS579" s="45"/>
      <c r="HT579" s="45"/>
      <c r="HU579" s="45"/>
      <c r="HV579" s="45"/>
      <c r="HW579" s="45"/>
      <c r="HX579" s="45"/>
      <c r="HY579" s="45"/>
    </row>
    <row r="580" spans="1:233" s="46" customFormat="1" ht="15" customHeight="1">
      <c r="A580" s="73" t="s">
        <v>44</v>
      </c>
      <c r="B580" s="26" t="s">
        <v>10</v>
      </c>
      <c r="C580" s="26" t="s">
        <v>13</v>
      </c>
      <c r="D580" s="26" t="s">
        <v>610</v>
      </c>
      <c r="E580" s="26" t="s">
        <v>67</v>
      </c>
      <c r="F580" s="26" t="s">
        <v>44</v>
      </c>
      <c r="G580" s="26" t="s">
        <v>215</v>
      </c>
      <c r="H580" s="26" t="s">
        <v>22</v>
      </c>
      <c r="I580" s="26" t="s">
        <v>641</v>
      </c>
      <c r="J580" s="26" t="s">
        <v>23</v>
      </c>
      <c r="K580" s="27" t="s">
        <v>26</v>
      </c>
      <c r="L580" s="26">
        <v>219</v>
      </c>
      <c r="M580" s="28">
        <v>112</v>
      </c>
      <c r="N580" s="82">
        <f t="shared" si="159"/>
        <v>51.141552511415526</v>
      </c>
      <c r="O580" s="28">
        <v>219</v>
      </c>
      <c r="P580" s="28">
        <v>17</v>
      </c>
      <c r="Q580" s="82">
        <f t="shared" si="160"/>
        <v>7.762557077625571</v>
      </c>
      <c r="R580" s="31">
        <v>28</v>
      </c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  <c r="BP580" s="45"/>
      <c r="BQ580" s="45"/>
      <c r="BR580" s="45"/>
      <c r="BS580" s="45"/>
      <c r="BT580" s="45"/>
      <c r="BU580" s="45"/>
      <c r="BV580" s="45"/>
      <c r="BW580" s="45"/>
      <c r="BX580" s="45"/>
      <c r="BY580" s="45"/>
      <c r="BZ580" s="45"/>
      <c r="CA580" s="45"/>
      <c r="CB580" s="45"/>
      <c r="CC580" s="45"/>
      <c r="CD580" s="45"/>
      <c r="CE580" s="45"/>
      <c r="CF580" s="45"/>
      <c r="CG580" s="45"/>
      <c r="CH580" s="45"/>
      <c r="CI580" s="45"/>
      <c r="CJ580" s="45"/>
      <c r="CK580" s="45"/>
      <c r="CL580" s="45"/>
      <c r="CM580" s="45"/>
      <c r="CN580" s="45"/>
      <c r="CO580" s="45"/>
      <c r="CP580" s="45"/>
      <c r="CQ580" s="45"/>
      <c r="CR580" s="45"/>
      <c r="CS580" s="45"/>
      <c r="CT580" s="45"/>
      <c r="CU580" s="45"/>
      <c r="CV580" s="45"/>
      <c r="CW580" s="45"/>
      <c r="CX580" s="45"/>
      <c r="CY580" s="45"/>
      <c r="CZ580" s="45"/>
      <c r="DA580" s="45"/>
      <c r="DB580" s="45"/>
      <c r="DC580" s="45"/>
      <c r="DD580" s="45"/>
      <c r="DE580" s="45"/>
      <c r="DF580" s="45"/>
      <c r="DG580" s="45"/>
      <c r="DH580" s="45"/>
      <c r="DI580" s="45"/>
      <c r="DJ580" s="45"/>
      <c r="DK580" s="45"/>
      <c r="DL580" s="45"/>
      <c r="DM580" s="45"/>
      <c r="DN580" s="45"/>
      <c r="DO580" s="45"/>
      <c r="DP580" s="45"/>
      <c r="DQ580" s="45"/>
      <c r="DR580" s="45"/>
      <c r="DS580" s="45"/>
      <c r="DT580" s="45"/>
      <c r="DU580" s="45"/>
      <c r="DV580" s="45"/>
      <c r="DW580" s="45"/>
      <c r="DX580" s="45"/>
      <c r="DY580" s="45"/>
      <c r="DZ580" s="45"/>
      <c r="EA580" s="45"/>
      <c r="EB580" s="45"/>
      <c r="EC580" s="45"/>
      <c r="ED580" s="45"/>
      <c r="EE580" s="45"/>
      <c r="EF580" s="45"/>
      <c r="EG580" s="45"/>
      <c r="EH580" s="45"/>
      <c r="EI580" s="45"/>
      <c r="EJ580" s="45"/>
      <c r="EK580" s="45"/>
      <c r="EL580" s="45"/>
      <c r="EM580" s="45"/>
      <c r="EN580" s="45"/>
      <c r="EO580" s="45"/>
      <c r="EP580" s="45"/>
      <c r="EQ580" s="45"/>
      <c r="ER580" s="45"/>
      <c r="ES580" s="45"/>
      <c r="ET580" s="45"/>
      <c r="EU580" s="45"/>
      <c r="EV580" s="45"/>
      <c r="EW580" s="45"/>
      <c r="EX580" s="45"/>
      <c r="EY580" s="45"/>
      <c r="EZ580" s="45"/>
      <c r="FA580" s="45"/>
      <c r="FB580" s="45"/>
      <c r="FC580" s="45"/>
      <c r="FD580" s="45"/>
      <c r="FE580" s="45"/>
      <c r="FF580" s="45"/>
      <c r="FG580" s="45"/>
      <c r="FH580" s="45"/>
      <c r="FI580" s="45"/>
      <c r="FJ580" s="45"/>
      <c r="FK580" s="45"/>
      <c r="FL580" s="45"/>
      <c r="FM580" s="45"/>
      <c r="FN580" s="45"/>
      <c r="FO580" s="45"/>
      <c r="FP580" s="45"/>
      <c r="FQ580" s="45"/>
      <c r="FR580" s="45"/>
      <c r="FS580" s="45"/>
      <c r="FT580" s="45"/>
      <c r="FU580" s="45"/>
      <c r="FV580" s="45"/>
      <c r="FW580" s="45"/>
      <c r="FX580" s="45"/>
      <c r="FY580" s="45"/>
      <c r="FZ580" s="45"/>
      <c r="GA580" s="45"/>
      <c r="GB580" s="45"/>
      <c r="GC580" s="45"/>
      <c r="GD580" s="45"/>
      <c r="GE580" s="45"/>
      <c r="GF580" s="45"/>
      <c r="GG580" s="45"/>
      <c r="GH580" s="45"/>
      <c r="GI580" s="45"/>
      <c r="GJ580" s="45"/>
      <c r="GK580" s="45"/>
      <c r="GL580" s="45"/>
      <c r="GM580" s="45"/>
      <c r="GN580" s="45"/>
      <c r="GO580" s="45"/>
      <c r="GP580" s="45"/>
      <c r="GQ580" s="45"/>
      <c r="GR580" s="45"/>
      <c r="GS580" s="45"/>
      <c r="GT580" s="45"/>
      <c r="GU580" s="45"/>
      <c r="GV580" s="45"/>
      <c r="GW580" s="45"/>
      <c r="GX580" s="45"/>
      <c r="GY580" s="45"/>
      <c r="GZ580" s="45"/>
      <c r="HA580" s="45"/>
      <c r="HB580" s="45"/>
      <c r="HC580" s="45"/>
      <c r="HD580" s="45"/>
      <c r="HE580" s="45"/>
      <c r="HF580" s="45"/>
      <c r="HG580" s="45"/>
      <c r="HH580" s="45"/>
      <c r="HI580" s="45"/>
      <c r="HJ580" s="45"/>
      <c r="HK580" s="45"/>
      <c r="HL580" s="45"/>
      <c r="HM580" s="45"/>
      <c r="HN580" s="45"/>
      <c r="HO580" s="45"/>
      <c r="HP580" s="45"/>
      <c r="HQ580" s="45"/>
      <c r="HR580" s="45"/>
      <c r="HS580" s="45"/>
      <c r="HT580" s="45"/>
      <c r="HU580" s="45"/>
      <c r="HV580" s="45"/>
      <c r="HW580" s="45"/>
      <c r="HX580" s="45"/>
      <c r="HY580" s="45"/>
    </row>
    <row r="581" spans="1:233" s="46" customFormat="1" ht="15" customHeight="1">
      <c r="A581" s="73" t="s">
        <v>44</v>
      </c>
      <c r="B581" s="26" t="s">
        <v>10</v>
      </c>
      <c r="C581" s="26" t="s">
        <v>13</v>
      </c>
      <c r="D581" s="26" t="s">
        <v>610</v>
      </c>
      <c r="E581" s="26" t="s">
        <v>67</v>
      </c>
      <c r="F581" s="26" t="s">
        <v>44</v>
      </c>
      <c r="G581" s="26" t="s">
        <v>215</v>
      </c>
      <c r="H581" s="26" t="s">
        <v>22</v>
      </c>
      <c r="I581" s="26" t="s">
        <v>641</v>
      </c>
      <c r="J581" s="26" t="s">
        <v>23</v>
      </c>
      <c r="K581" s="27" t="s">
        <v>27</v>
      </c>
      <c r="L581" s="26">
        <v>216</v>
      </c>
      <c r="M581" s="28">
        <v>114</v>
      </c>
      <c r="N581" s="82">
        <f t="shared" si="159"/>
        <v>52.777777777777779</v>
      </c>
      <c r="O581" s="28">
        <v>217</v>
      </c>
      <c r="P581" s="28">
        <v>18</v>
      </c>
      <c r="Q581" s="82">
        <f t="shared" si="160"/>
        <v>8.2949308755760374</v>
      </c>
      <c r="R581" s="31">
        <v>28</v>
      </c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  <c r="BP581" s="45"/>
      <c r="BQ581" s="45"/>
      <c r="BR581" s="45"/>
      <c r="BS581" s="45"/>
      <c r="BT581" s="45"/>
      <c r="BU581" s="45"/>
      <c r="BV581" s="45"/>
      <c r="BW581" s="45"/>
      <c r="BX581" s="45"/>
      <c r="BY581" s="45"/>
      <c r="BZ581" s="45"/>
      <c r="CA581" s="45"/>
      <c r="CB581" s="45"/>
      <c r="CC581" s="45"/>
      <c r="CD581" s="45"/>
      <c r="CE581" s="45"/>
      <c r="CF581" s="45"/>
      <c r="CG581" s="45"/>
      <c r="CH581" s="45"/>
      <c r="CI581" s="45"/>
      <c r="CJ581" s="45"/>
      <c r="CK581" s="45"/>
      <c r="CL581" s="45"/>
      <c r="CM581" s="45"/>
      <c r="CN581" s="45"/>
      <c r="CO581" s="45"/>
      <c r="CP581" s="45"/>
      <c r="CQ581" s="45"/>
      <c r="CR581" s="45"/>
      <c r="CS581" s="45"/>
      <c r="CT581" s="45"/>
      <c r="CU581" s="45"/>
      <c r="CV581" s="45"/>
      <c r="CW581" s="45"/>
      <c r="CX581" s="45"/>
      <c r="CY581" s="45"/>
      <c r="CZ581" s="45"/>
      <c r="DA581" s="45"/>
      <c r="DB581" s="45"/>
      <c r="DC581" s="45"/>
      <c r="DD581" s="45"/>
      <c r="DE581" s="45"/>
      <c r="DF581" s="45"/>
      <c r="DG581" s="45"/>
      <c r="DH581" s="45"/>
      <c r="DI581" s="45"/>
      <c r="DJ581" s="45"/>
      <c r="DK581" s="45"/>
      <c r="DL581" s="45"/>
      <c r="DM581" s="45"/>
      <c r="DN581" s="45"/>
      <c r="DO581" s="45"/>
      <c r="DP581" s="45"/>
      <c r="DQ581" s="45"/>
      <c r="DR581" s="45"/>
      <c r="DS581" s="45"/>
      <c r="DT581" s="45"/>
      <c r="DU581" s="45"/>
      <c r="DV581" s="45"/>
      <c r="DW581" s="45"/>
      <c r="DX581" s="45"/>
      <c r="DY581" s="45"/>
      <c r="DZ581" s="45"/>
      <c r="EA581" s="45"/>
      <c r="EB581" s="45"/>
      <c r="EC581" s="45"/>
      <c r="ED581" s="45"/>
      <c r="EE581" s="45"/>
      <c r="EF581" s="45"/>
      <c r="EG581" s="45"/>
      <c r="EH581" s="45"/>
      <c r="EI581" s="45"/>
      <c r="EJ581" s="45"/>
      <c r="EK581" s="45"/>
      <c r="EL581" s="45"/>
      <c r="EM581" s="45"/>
      <c r="EN581" s="45"/>
      <c r="EO581" s="45"/>
      <c r="EP581" s="45"/>
      <c r="EQ581" s="45"/>
      <c r="ER581" s="45"/>
      <c r="ES581" s="45"/>
      <c r="ET581" s="45"/>
      <c r="EU581" s="45"/>
      <c r="EV581" s="45"/>
      <c r="EW581" s="45"/>
      <c r="EX581" s="45"/>
      <c r="EY581" s="45"/>
      <c r="EZ581" s="45"/>
      <c r="FA581" s="45"/>
      <c r="FB581" s="45"/>
      <c r="FC581" s="45"/>
      <c r="FD581" s="45"/>
      <c r="FE581" s="45"/>
      <c r="FF581" s="45"/>
      <c r="FG581" s="45"/>
      <c r="FH581" s="45"/>
      <c r="FI581" s="45"/>
      <c r="FJ581" s="45"/>
      <c r="FK581" s="45"/>
      <c r="FL581" s="45"/>
      <c r="FM581" s="45"/>
      <c r="FN581" s="45"/>
      <c r="FO581" s="45"/>
      <c r="FP581" s="45"/>
      <c r="FQ581" s="45"/>
      <c r="FR581" s="45"/>
      <c r="FS581" s="45"/>
      <c r="FT581" s="45"/>
      <c r="FU581" s="45"/>
      <c r="FV581" s="45"/>
      <c r="FW581" s="45"/>
      <c r="FX581" s="45"/>
      <c r="FY581" s="45"/>
      <c r="FZ581" s="45"/>
      <c r="GA581" s="45"/>
      <c r="GB581" s="45"/>
      <c r="GC581" s="45"/>
      <c r="GD581" s="45"/>
      <c r="GE581" s="45"/>
      <c r="GF581" s="45"/>
      <c r="GG581" s="45"/>
      <c r="GH581" s="45"/>
      <c r="GI581" s="45"/>
      <c r="GJ581" s="45"/>
      <c r="GK581" s="45"/>
      <c r="GL581" s="45"/>
      <c r="GM581" s="45"/>
      <c r="GN581" s="45"/>
      <c r="GO581" s="45"/>
      <c r="GP581" s="45"/>
      <c r="GQ581" s="45"/>
      <c r="GR581" s="45"/>
      <c r="GS581" s="45"/>
      <c r="GT581" s="45"/>
      <c r="GU581" s="45"/>
      <c r="GV581" s="45"/>
      <c r="GW581" s="45"/>
      <c r="GX581" s="45"/>
      <c r="GY581" s="45"/>
      <c r="GZ581" s="45"/>
      <c r="HA581" s="45"/>
      <c r="HB581" s="45"/>
      <c r="HC581" s="45"/>
      <c r="HD581" s="45"/>
      <c r="HE581" s="45"/>
      <c r="HF581" s="45"/>
      <c r="HG581" s="45"/>
      <c r="HH581" s="45"/>
      <c r="HI581" s="45"/>
      <c r="HJ581" s="45"/>
      <c r="HK581" s="45"/>
      <c r="HL581" s="45"/>
      <c r="HM581" s="45"/>
      <c r="HN581" s="45"/>
      <c r="HO581" s="45"/>
      <c r="HP581" s="45"/>
      <c r="HQ581" s="45"/>
      <c r="HR581" s="45"/>
      <c r="HS581" s="45"/>
      <c r="HT581" s="45"/>
      <c r="HU581" s="45"/>
      <c r="HV581" s="45"/>
      <c r="HW581" s="45"/>
      <c r="HX581" s="45"/>
      <c r="HY581" s="45"/>
    </row>
    <row r="582" spans="1:233" s="46" customFormat="1" ht="15" customHeight="1">
      <c r="A582" s="73" t="s">
        <v>44</v>
      </c>
      <c r="B582" s="26" t="s">
        <v>10</v>
      </c>
      <c r="C582" s="26" t="s">
        <v>13</v>
      </c>
      <c r="D582" s="26" t="s">
        <v>610</v>
      </c>
      <c r="E582" s="26" t="s">
        <v>67</v>
      </c>
      <c r="F582" s="26" t="s">
        <v>44</v>
      </c>
      <c r="G582" s="26" t="s">
        <v>215</v>
      </c>
      <c r="H582" s="26" t="s">
        <v>22</v>
      </c>
      <c r="I582" s="26" t="s">
        <v>641</v>
      </c>
      <c r="J582" s="26" t="s">
        <v>23</v>
      </c>
      <c r="K582" s="27" t="s">
        <v>28</v>
      </c>
      <c r="L582" s="26">
        <v>202</v>
      </c>
      <c r="M582" s="28">
        <v>131</v>
      </c>
      <c r="N582" s="82">
        <f t="shared" si="159"/>
        <v>64.851485148514854</v>
      </c>
      <c r="O582" s="28">
        <v>204</v>
      </c>
      <c r="P582" s="28">
        <v>29</v>
      </c>
      <c r="Q582" s="82">
        <f t="shared" si="160"/>
        <v>14.215686274509803</v>
      </c>
      <c r="R582" s="31">
        <v>28</v>
      </c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  <c r="BP582" s="45"/>
      <c r="BQ582" s="45"/>
      <c r="BR582" s="45"/>
      <c r="BS582" s="45"/>
      <c r="BT582" s="45"/>
      <c r="BU582" s="45"/>
      <c r="BV582" s="45"/>
      <c r="BW582" s="45"/>
      <c r="BX582" s="45"/>
      <c r="BY582" s="45"/>
      <c r="BZ582" s="45"/>
      <c r="CA582" s="45"/>
      <c r="CB582" s="45"/>
      <c r="CC582" s="45"/>
      <c r="CD582" s="45"/>
      <c r="CE582" s="45"/>
      <c r="CF582" s="45"/>
      <c r="CG582" s="45"/>
      <c r="CH582" s="45"/>
      <c r="CI582" s="45"/>
      <c r="CJ582" s="45"/>
      <c r="CK582" s="45"/>
      <c r="CL582" s="45"/>
      <c r="CM582" s="45"/>
      <c r="CN582" s="45"/>
      <c r="CO582" s="45"/>
      <c r="CP582" s="45"/>
      <c r="CQ582" s="45"/>
      <c r="CR582" s="45"/>
      <c r="CS582" s="45"/>
      <c r="CT582" s="45"/>
      <c r="CU582" s="45"/>
      <c r="CV582" s="45"/>
      <c r="CW582" s="45"/>
      <c r="CX582" s="45"/>
      <c r="CY582" s="45"/>
      <c r="CZ582" s="45"/>
      <c r="DA582" s="45"/>
      <c r="DB582" s="45"/>
      <c r="DC582" s="45"/>
      <c r="DD582" s="45"/>
      <c r="DE582" s="45"/>
      <c r="DF582" s="45"/>
      <c r="DG582" s="45"/>
      <c r="DH582" s="45"/>
      <c r="DI582" s="45"/>
      <c r="DJ582" s="45"/>
      <c r="DK582" s="45"/>
      <c r="DL582" s="45"/>
      <c r="DM582" s="45"/>
      <c r="DN582" s="45"/>
      <c r="DO582" s="45"/>
      <c r="DP582" s="45"/>
      <c r="DQ582" s="45"/>
      <c r="DR582" s="45"/>
      <c r="DS582" s="45"/>
      <c r="DT582" s="45"/>
      <c r="DU582" s="45"/>
      <c r="DV582" s="45"/>
      <c r="DW582" s="45"/>
      <c r="DX582" s="45"/>
      <c r="DY582" s="45"/>
      <c r="DZ582" s="45"/>
      <c r="EA582" s="45"/>
      <c r="EB582" s="45"/>
      <c r="EC582" s="45"/>
      <c r="ED582" s="45"/>
      <c r="EE582" s="45"/>
      <c r="EF582" s="45"/>
      <c r="EG582" s="45"/>
      <c r="EH582" s="45"/>
      <c r="EI582" s="45"/>
      <c r="EJ582" s="45"/>
      <c r="EK582" s="45"/>
      <c r="EL582" s="45"/>
      <c r="EM582" s="45"/>
      <c r="EN582" s="45"/>
      <c r="EO582" s="45"/>
      <c r="EP582" s="45"/>
      <c r="EQ582" s="45"/>
      <c r="ER582" s="45"/>
      <c r="ES582" s="45"/>
      <c r="ET582" s="45"/>
      <c r="EU582" s="45"/>
      <c r="EV582" s="45"/>
      <c r="EW582" s="45"/>
      <c r="EX582" s="45"/>
      <c r="EY582" s="45"/>
      <c r="EZ582" s="45"/>
      <c r="FA582" s="45"/>
      <c r="FB582" s="45"/>
      <c r="FC582" s="45"/>
      <c r="FD582" s="45"/>
      <c r="FE582" s="45"/>
      <c r="FF582" s="45"/>
      <c r="FG582" s="45"/>
      <c r="FH582" s="45"/>
      <c r="FI582" s="45"/>
      <c r="FJ582" s="45"/>
      <c r="FK582" s="45"/>
      <c r="FL582" s="45"/>
      <c r="FM582" s="45"/>
      <c r="FN582" s="45"/>
      <c r="FO582" s="45"/>
      <c r="FP582" s="45"/>
      <c r="FQ582" s="45"/>
      <c r="FR582" s="45"/>
      <c r="FS582" s="45"/>
      <c r="FT582" s="45"/>
      <c r="FU582" s="45"/>
      <c r="FV582" s="45"/>
      <c r="FW582" s="45"/>
      <c r="FX582" s="45"/>
      <c r="FY582" s="45"/>
      <c r="FZ582" s="45"/>
      <c r="GA582" s="45"/>
      <c r="GB582" s="45"/>
      <c r="GC582" s="45"/>
      <c r="GD582" s="45"/>
      <c r="GE582" s="45"/>
      <c r="GF582" s="45"/>
      <c r="GG582" s="45"/>
      <c r="GH582" s="45"/>
      <c r="GI582" s="45"/>
      <c r="GJ582" s="45"/>
      <c r="GK582" s="45"/>
      <c r="GL582" s="45"/>
      <c r="GM582" s="45"/>
      <c r="GN582" s="45"/>
      <c r="GO582" s="45"/>
      <c r="GP582" s="45"/>
      <c r="GQ582" s="45"/>
      <c r="GR582" s="45"/>
      <c r="GS582" s="45"/>
      <c r="GT582" s="45"/>
      <c r="GU582" s="45"/>
      <c r="GV582" s="45"/>
      <c r="GW582" s="45"/>
      <c r="GX582" s="45"/>
      <c r="GY582" s="45"/>
      <c r="GZ582" s="45"/>
      <c r="HA582" s="45"/>
      <c r="HB582" s="45"/>
      <c r="HC582" s="45"/>
      <c r="HD582" s="45"/>
      <c r="HE582" s="45"/>
      <c r="HF582" s="45"/>
      <c r="HG582" s="45"/>
      <c r="HH582" s="45"/>
      <c r="HI582" s="45"/>
      <c r="HJ582" s="45"/>
      <c r="HK582" s="45"/>
      <c r="HL582" s="45"/>
      <c r="HM582" s="45"/>
      <c r="HN582" s="45"/>
      <c r="HO582" s="45"/>
      <c r="HP582" s="45"/>
      <c r="HQ582" s="45"/>
      <c r="HR582" s="45"/>
      <c r="HS582" s="45"/>
      <c r="HT582" s="45"/>
      <c r="HU582" s="45"/>
      <c r="HV582" s="45"/>
      <c r="HW582" s="45"/>
      <c r="HX582" s="45"/>
      <c r="HY582" s="45"/>
    </row>
    <row r="583" spans="1:233" s="46" customFormat="1" ht="15" customHeight="1">
      <c r="A583" s="73" t="s">
        <v>44</v>
      </c>
      <c r="B583" s="26" t="s">
        <v>10</v>
      </c>
      <c r="C583" s="26" t="s">
        <v>13</v>
      </c>
      <c r="D583" s="26" t="s">
        <v>610</v>
      </c>
      <c r="E583" s="26" t="s">
        <v>67</v>
      </c>
      <c r="F583" s="26" t="s">
        <v>44</v>
      </c>
      <c r="G583" s="26" t="s">
        <v>215</v>
      </c>
      <c r="H583" s="26" t="s">
        <v>22</v>
      </c>
      <c r="I583" s="26" t="s">
        <v>641</v>
      </c>
      <c r="J583" s="26" t="s">
        <v>23</v>
      </c>
      <c r="K583" s="27" t="s">
        <v>72</v>
      </c>
      <c r="L583" s="26">
        <v>182</v>
      </c>
      <c r="M583" s="28">
        <v>123</v>
      </c>
      <c r="N583" s="82">
        <f t="shared" si="159"/>
        <v>67.582417582417577</v>
      </c>
      <c r="O583" s="28">
        <v>182</v>
      </c>
      <c r="P583" s="28">
        <v>33</v>
      </c>
      <c r="Q583" s="82">
        <f t="shared" si="160"/>
        <v>18.131868131868131</v>
      </c>
      <c r="R583" s="31">
        <v>28</v>
      </c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  <c r="BP583" s="45"/>
      <c r="BQ583" s="45"/>
      <c r="BR583" s="45"/>
      <c r="BS583" s="45"/>
      <c r="BT583" s="45"/>
      <c r="BU583" s="45"/>
      <c r="BV583" s="45"/>
      <c r="BW583" s="45"/>
      <c r="BX583" s="45"/>
      <c r="BY583" s="45"/>
      <c r="BZ583" s="45"/>
      <c r="CA583" s="45"/>
      <c r="CB583" s="45"/>
      <c r="CC583" s="45"/>
      <c r="CD583" s="45"/>
      <c r="CE583" s="45"/>
      <c r="CF583" s="45"/>
      <c r="CG583" s="45"/>
      <c r="CH583" s="45"/>
      <c r="CI583" s="45"/>
      <c r="CJ583" s="45"/>
      <c r="CK583" s="45"/>
      <c r="CL583" s="45"/>
      <c r="CM583" s="45"/>
      <c r="CN583" s="45"/>
      <c r="CO583" s="45"/>
      <c r="CP583" s="45"/>
      <c r="CQ583" s="45"/>
      <c r="CR583" s="45"/>
      <c r="CS583" s="45"/>
      <c r="CT583" s="45"/>
      <c r="CU583" s="45"/>
      <c r="CV583" s="45"/>
      <c r="CW583" s="45"/>
      <c r="CX583" s="45"/>
      <c r="CY583" s="45"/>
      <c r="CZ583" s="45"/>
      <c r="DA583" s="45"/>
      <c r="DB583" s="45"/>
      <c r="DC583" s="45"/>
      <c r="DD583" s="45"/>
      <c r="DE583" s="45"/>
      <c r="DF583" s="45"/>
      <c r="DG583" s="45"/>
      <c r="DH583" s="45"/>
      <c r="DI583" s="45"/>
      <c r="DJ583" s="45"/>
      <c r="DK583" s="45"/>
      <c r="DL583" s="45"/>
      <c r="DM583" s="45"/>
      <c r="DN583" s="45"/>
      <c r="DO583" s="45"/>
      <c r="DP583" s="45"/>
      <c r="DQ583" s="45"/>
      <c r="DR583" s="45"/>
      <c r="DS583" s="45"/>
      <c r="DT583" s="45"/>
      <c r="DU583" s="45"/>
      <c r="DV583" s="45"/>
      <c r="DW583" s="45"/>
      <c r="DX583" s="45"/>
      <c r="DY583" s="45"/>
      <c r="DZ583" s="45"/>
      <c r="EA583" s="45"/>
      <c r="EB583" s="45"/>
      <c r="EC583" s="45"/>
      <c r="ED583" s="45"/>
      <c r="EE583" s="45"/>
      <c r="EF583" s="45"/>
      <c r="EG583" s="45"/>
      <c r="EH583" s="45"/>
      <c r="EI583" s="45"/>
      <c r="EJ583" s="45"/>
      <c r="EK583" s="45"/>
      <c r="EL583" s="45"/>
      <c r="EM583" s="45"/>
      <c r="EN583" s="45"/>
      <c r="EO583" s="45"/>
      <c r="EP583" s="45"/>
      <c r="EQ583" s="45"/>
      <c r="ER583" s="45"/>
      <c r="ES583" s="45"/>
      <c r="ET583" s="45"/>
      <c r="EU583" s="45"/>
      <c r="EV583" s="45"/>
      <c r="EW583" s="45"/>
      <c r="EX583" s="45"/>
      <c r="EY583" s="45"/>
      <c r="EZ583" s="45"/>
      <c r="FA583" s="45"/>
      <c r="FB583" s="45"/>
      <c r="FC583" s="45"/>
      <c r="FD583" s="45"/>
      <c r="FE583" s="45"/>
      <c r="FF583" s="45"/>
      <c r="FG583" s="45"/>
      <c r="FH583" s="45"/>
      <c r="FI583" s="45"/>
      <c r="FJ583" s="45"/>
      <c r="FK583" s="45"/>
      <c r="FL583" s="45"/>
      <c r="FM583" s="45"/>
      <c r="FN583" s="45"/>
      <c r="FO583" s="45"/>
      <c r="FP583" s="45"/>
      <c r="FQ583" s="45"/>
      <c r="FR583" s="45"/>
      <c r="FS583" s="45"/>
      <c r="FT583" s="45"/>
      <c r="FU583" s="45"/>
      <c r="FV583" s="45"/>
      <c r="FW583" s="45"/>
      <c r="FX583" s="45"/>
      <c r="FY583" s="45"/>
      <c r="FZ583" s="45"/>
      <c r="GA583" s="45"/>
      <c r="GB583" s="45"/>
      <c r="GC583" s="45"/>
      <c r="GD583" s="45"/>
      <c r="GE583" s="45"/>
      <c r="GF583" s="45"/>
      <c r="GG583" s="45"/>
      <c r="GH583" s="45"/>
      <c r="GI583" s="45"/>
      <c r="GJ583" s="45"/>
      <c r="GK583" s="45"/>
      <c r="GL583" s="45"/>
      <c r="GM583" s="45"/>
      <c r="GN583" s="45"/>
      <c r="GO583" s="45"/>
      <c r="GP583" s="45"/>
      <c r="GQ583" s="45"/>
      <c r="GR583" s="45"/>
      <c r="GS583" s="45"/>
      <c r="GT583" s="45"/>
      <c r="GU583" s="45"/>
      <c r="GV583" s="45"/>
      <c r="GW583" s="45"/>
      <c r="GX583" s="45"/>
      <c r="GY583" s="45"/>
      <c r="GZ583" s="45"/>
      <c r="HA583" s="45"/>
      <c r="HB583" s="45"/>
      <c r="HC583" s="45"/>
      <c r="HD583" s="45"/>
      <c r="HE583" s="45"/>
      <c r="HF583" s="45"/>
      <c r="HG583" s="45"/>
      <c r="HH583" s="45"/>
      <c r="HI583" s="45"/>
      <c r="HJ583" s="45"/>
      <c r="HK583" s="45"/>
      <c r="HL583" s="45"/>
      <c r="HM583" s="45"/>
      <c r="HN583" s="45"/>
      <c r="HO583" s="45"/>
      <c r="HP583" s="45"/>
      <c r="HQ583" s="45"/>
      <c r="HR583" s="45"/>
      <c r="HS583" s="45"/>
      <c r="HT583" s="45"/>
      <c r="HU583" s="45"/>
      <c r="HV583" s="45"/>
      <c r="HW583" s="45"/>
      <c r="HX583" s="45"/>
      <c r="HY583" s="45"/>
    </row>
    <row r="584" spans="1:233" s="46" customFormat="1" ht="15" customHeight="1">
      <c r="A584" s="73" t="s">
        <v>44</v>
      </c>
      <c r="B584" s="26" t="s">
        <v>10</v>
      </c>
      <c r="C584" s="26" t="s">
        <v>13</v>
      </c>
      <c r="D584" s="26" t="s">
        <v>610</v>
      </c>
      <c r="E584" s="26" t="s">
        <v>67</v>
      </c>
      <c r="F584" s="26" t="s">
        <v>44</v>
      </c>
      <c r="G584" s="26" t="s">
        <v>215</v>
      </c>
      <c r="H584" s="26" t="s">
        <v>22</v>
      </c>
      <c r="I584" s="26" t="s">
        <v>641</v>
      </c>
      <c r="J584" s="26" t="s">
        <v>23</v>
      </c>
      <c r="K584" s="27" t="s">
        <v>73</v>
      </c>
      <c r="L584" s="26">
        <v>198</v>
      </c>
      <c r="M584" s="28">
        <v>139</v>
      </c>
      <c r="N584" s="82">
        <f t="shared" si="159"/>
        <v>70.202020202020208</v>
      </c>
      <c r="O584" s="28">
        <v>198</v>
      </c>
      <c r="P584" s="28">
        <v>42</v>
      </c>
      <c r="Q584" s="82">
        <f t="shared" si="160"/>
        <v>21.212121212121211</v>
      </c>
      <c r="R584" s="31">
        <v>28</v>
      </c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  <c r="BP584" s="45"/>
      <c r="BQ584" s="45"/>
      <c r="BR584" s="45"/>
      <c r="BS584" s="45"/>
      <c r="BT584" s="45"/>
      <c r="BU584" s="45"/>
      <c r="BV584" s="45"/>
      <c r="BW584" s="45"/>
      <c r="BX584" s="45"/>
      <c r="BY584" s="45"/>
      <c r="BZ584" s="45"/>
      <c r="CA584" s="45"/>
      <c r="CB584" s="45"/>
      <c r="CC584" s="45"/>
      <c r="CD584" s="45"/>
      <c r="CE584" s="45"/>
      <c r="CF584" s="45"/>
      <c r="CG584" s="45"/>
      <c r="CH584" s="45"/>
      <c r="CI584" s="45"/>
      <c r="CJ584" s="45"/>
      <c r="CK584" s="45"/>
      <c r="CL584" s="45"/>
      <c r="CM584" s="45"/>
      <c r="CN584" s="45"/>
      <c r="CO584" s="45"/>
      <c r="CP584" s="45"/>
      <c r="CQ584" s="45"/>
      <c r="CR584" s="45"/>
      <c r="CS584" s="45"/>
      <c r="CT584" s="45"/>
      <c r="CU584" s="45"/>
      <c r="CV584" s="45"/>
      <c r="CW584" s="45"/>
      <c r="CX584" s="45"/>
      <c r="CY584" s="45"/>
      <c r="CZ584" s="45"/>
      <c r="DA584" s="45"/>
      <c r="DB584" s="45"/>
      <c r="DC584" s="45"/>
      <c r="DD584" s="45"/>
      <c r="DE584" s="45"/>
      <c r="DF584" s="45"/>
      <c r="DG584" s="45"/>
      <c r="DH584" s="45"/>
      <c r="DI584" s="45"/>
      <c r="DJ584" s="45"/>
      <c r="DK584" s="45"/>
      <c r="DL584" s="45"/>
      <c r="DM584" s="45"/>
      <c r="DN584" s="45"/>
      <c r="DO584" s="45"/>
      <c r="DP584" s="45"/>
      <c r="DQ584" s="45"/>
      <c r="DR584" s="45"/>
      <c r="DS584" s="45"/>
      <c r="DT584" s="45"/>
      <c r="DU584" s="45"/>
      <c r="DV584" s="45"/>
      <c r="DW584" s="45"/>
      <c r="DX584" s="45"/>
      <c r="DY584" s="45"/>
      <c r="DZ584" s="45"/>
      <c r="EA584" s="45"/>
      <c r="EB584" s="45"/>
      <c r="EC584" s="45"/>
      <c r="ED584" s="45"/>
      <c r="EE584" s="45"/>
      <c r="EF584" s="45"/>
      <c r="EG584" s="45"/>
      <c r="EH584" s="45"/>
      <c r="EI584" s="45"/>
      <c r="EJ584" s="45"/>
      <c r="EK584" s="45"/>
      <c r="EL584" s="45"/>
      <c r="EM584" s="45"/>
      <c r="EN584" s="45"/>
      <c r="EO584" s="45"/>
      <c r="EP584" s="45"/>
      <c r="EQ584" s="45"/>
      <c r="ER584" s="45"/>
      <c r="ES584" s="45"/>
      <c r="ET584" s="45"/>
      <c r="EU584" s="45"/>
      <c r="EV584" s="45"/>
      <c r="EW584" s="45"/>
      <c r="EX584" s="45"/>
      <c r="EY584" s="45"/>
      <c r="EZ584" s="45"/>
      <c r="FA584" s="45"/>
      <c r="FB584" s="45"/>
      <c r="FC584" s="45"/>
      <c r="FD584" s="45"/>
      <c r="FE584" s="45"/>
      <c r="FF584" s="45"/>
      <c r="FG584" s="45"/>
      <c r="FH584" s="45"/>
      <c r="FI584" s="45"/>
      <c r="FJ584" s="45"/>
      <c r="FK584" s="45"/>
      <c r="FL584" s="45"/>
      <c r="FM584" s="45"/>
      <c r="FN584" s="45"/>
      <c r="FO584" s="45"/>
      <c r="FP584" s="45"/>
      <c r="FQ584" s="45"/>
      <c r="FR584" s="45"/>
      <c r="FS584" s="45"/>
      <c r="FT584" s="45"/>
      <c r="FU584" s="45"/>
      <c r="FV584" s="45"/>
      <c r="FW584" s="45"/>
      <c r="FX584" s="45"/>
      <c r="FY584" s="45"/>
      <c r="FZ584" s="45"/>
      <c r="GA584" s="45"/>
      <c r="GB584" s="45"/>
      <c r="GC584" s="45"/>
      <c r="GD584" s="45"/>
      <c r="GE584" s="45"/>
      <c r="GF584" s="45"/>
      <c r="GG584" s="45"/>
      <c r="GH584" s="45"/>
      <c r="GI584" s="45"/>
      <c r="GJ584" s="45"/>
      <c r="GK584" s="45"/>
      <c r="GL584" s="45"/>
      <c r="GM584" s="45"/>
      <c r="GN584" s="45"/>
      <c r="GO584" s="45"/>
      <c r="GP584" s="45"/>
      <c r="GQ584" s="45"/>
      <c r="GR584" s="45"/>
      <c r="GS584" s="45"/>
      <c r="GT584" s="45"/>
      <c r="GU584" s="45"/>
      <c r="GV584" s="45"/>
      <c r="GW584" s="45"/>
      <c r="GX584" s="45"/>
      <c r="GY584" s="45"/>
      <c r="GZ584" s="45"/>
      <c r="HA584" s="45"/>
      <c r="HB584" s="45"/>
      <c r="HC584" s="45"/>
      <c r="HD584" s="45"/>
      <c r="HE584" s="45"/>
      <c r="HF584" s="45"/>
      <c r="HG584" s="45"/>
      <c r="HH584" s="45"/>
      <c r="HI584" s="45"/>
      <c r="HJ584" s="45"/>
      <c r="HK584" s="45"/>
      <c r="HL584" s="45"/>
      <c r="HM584" s="45"/>
      <c r="HN584" s="45"/>
      <c r="HO584" s="45"/>
      <c r="HP584" s="45"/>
      <c r="HQ584" s="45"/>
      <c r="HR584" s="45"/>
      <c r="HS584" s="45"/>
      <c r="HT584" s="45"/>
      <c r="HU584" s="45"/>
      <c r="HV584" s="45"/>
      <c r="HW584" s="45"/>
      <c r="HX584" s="45"/>
      <c r="HY584" s="45"/>
    </row>
    <row r="585" spans="1:233" s="46" customFormat="1" ht="15" customHeight="1">
      <c r="A585" s="73" t="s">
        <v>44</v>
      </c>
      <c r="B585" s="26" t="s">
        <v>10</v>
      </c>
      <c r="C585" s="26" t="s">
        <v>13</v>
      </c>
      <c r="D585" s="26" t="s">
        <v>610</v>
      </c>
      <c r="E585" s="26" t="s">
        <v>67</v>
      </c>
      <c r="F585" s="26" t="s">
        <v>44</v>
      </c>
      <c r="G585" s="26" t="s">
        <v>215</v>
      </c>
      <c r="H585" s="26" t="s">
        <v>22</v>
      </c>
      <c r="I585" s="26" t="s">
        <v>641</v>
      </c>
      <c r="J585" s="26" t="s">
        <v>11</v>
      </c>
      <c r="K585" s="27" t="s">
        <v>142</v>
      </c>
      <c r="L585" s="26">
        <f>SUM(L586:L592)</f>
        <v>1700</v>
      </c>
      <c r="M585" s="26">
        <f t="shared" ref="M585" si="161">SUM(M586:M592)</f>
        <v>986</v>
      </c>
      <c r="N585" s="82">
        <f>M585*100/L585</f>
        <v>58</v>
      </c>
      <c r="O585" s="26">
        <f t="shared" ref="O585" si="162">SUM(O586:O592)</f>
        <v>1483</v>
      </c>
      <c r="P585" s="26">
        <f t="shared" ref="P585" si="163">SUM(P586:P592)</f>
        <v>329</v>
      </c>
      <c r="Q585" s="82">
        <f>P585*100/O585</f>
        <v>22.184760620364127</v>
      </c>
      <c r="R585" s="31">
        <v>28</v>
      </c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  <c r="BP585" s="45"/>
      <c r="BQ585" s="45"/>
      <c r="BR585" s="45"/>
      <c r="BS585" s="45"/>
      <c r="BT585" s="45"/>
      <c r="BU585" s="45"/>
      <c r="BV585" s="45"/>
      <c r="BW585" s="45"/>
      <c r="BX585" s="45"/>
      <c r="BY585" s="45"/>
      <c r="BZ585" s="45"/>
      <c r="CA585" s="45"/>
      <c r="CB585" s="45"/>
      <c r="CC585" s="45"/>
      <c r="CD585" s="45"/>
      <c r="CE585" s="45"/>
      <c r="CF585" s="45"/>
      <c r="CG585" s="45"/>
      <c r="CH585" s="45"/>
      <c r="CI585" s="45"/>
      <c r="CJ585" s="45"/>
      <c r="CK585" s="45"/>
      <c r="CL585" s="45"/>
      <c r="CM585" s="45"/>
      <c r="CN585" s="45"/>
      <c r="CO585" s="45"/>
      <c r="CP585" s="45"/>
      <c r="CQ585" s="45"/>
      <c r="CR585" s="45"/>
      <c r="CS585" s="45"/>
      <c r="CT585" s="45"/>
      <c r="CU585" s="45"/>
      <c r="CV585" s="45"/>
      <c r="CW585" s="45"/>
      <c r="CX585" s="45"/>
      <c r="CY585" s="45"/>
      <c r="CZ585" s="45"/>
      <c r="DA585" s="45"/>
      <c r="DB585" s="45"/>
      <c r="DC585" s="45"/>
      <c r="DD585" s="45"/>
      <c r="DE585" s="45"/>
      <c r="DF585" s="45"/>
      <c r="DG585" s="45"/>
      <c r="DH585" s="45"/>
      <c r="DI585" s="45"/>
      <c r="DJ585" s="45"/>
      <c r="DK585" s="45"/>
      <c r="DL585" s="45"/>
      <c r="DM585" s="45"/>
      <c r="DN585" s="45"/>
      <c r="DO585" s="45"/>
      <c r="DP585" s="45"/>
      <c r="DQ585" s="45"/>
      <c r="DR585" s="45"/>
      <c r="DS585" s="45"/>
      <c r="DT585" s="45"/>
      <c r="DU585" s="45"/>
      <c r="DV585" s="45"/>
      <c r="DW585" s="45"/>
      <c r="DX585" s="45"/>
      <c r="DY585" s="45"/>
      <c r="DZ585" s="45"/>
      <c r="EA585" s="45"/>
      <c r="EB585" s="45"/>
      <c r="EC585" s="45"/>
      <c r="ED585" s="45"/>
      <c r="EE585" s="45"/>
      <c r="EF585" s="45"/>
      <c r="EG585" s="45"/>
      <c r="EH585" s="45"/>
      <c r="EI585" s="45"/>
      <c r="EJ585" s="45"/>
      <c r="EK585" s="45"/>
      <c r="EL585" s="45"/>
      <c r="EM585" s="45"/>
      <c r="EN585" s="45"/>
      <c r="EO585" s="45"/>
      <c r="EP585" s="45"/>
      <c r="EQ585" s="45"/>
      <c r="ER585" s="45"/>
      <c r="ES585" s="45"/>
      <c r="ET585" s="45"/>
      <c r="EU585" s="45"/>
      <c r="EV585" s="45"/>
      <c r="EW585" s="45"/>
      <c r="EX585" s="45"/>
      <c r="EY585" s="45"/>
      <c r="EZ585" s="45"/>
      <c r="FA585" s="45"/>
      <c r="FB585" s="45"/>
      <c r="FC585" s="45"/>
      <c r="FD585" s="45"/>
      <c r="FE585" s="45"/>
      <c r="FF585" s="45"/>
      <c r="FG585" s="45"/>
      <c r="FH585" s="45"/>
      <c r="FI585" s="45"/>
      <c r="FJ585" s="45"/>
      <c r="FK585" s="45"/>
      <c r="FL585" s="45"/>
      <c r="FM585" s="45"/>
      <c r="FN585" s="45"/>
      <c r="FO585" s="45"/>
      <c r="FP585" s="45"/>
      <c r="FQ585" s="45"/>
      <c r="FR585" s="45"/>
      <c r="FS585" s="45"/>
      <c r="FT585" s="45"/>
      <c r="FU585" s="45"/>
      <c r="FV585" s="45"/>
      <c r="FW585" s="45"/>
      <c r="FX585" s="45"/>
      <c r="FY585" s="45"/>
      <c r="FZ585" s="45"/>
      <c r="GA585" s="45"/>
      <c r="GB585" s="45"/>
      <c r="GC585" s="45"/>
      <c r="GD585" s="45"/>
      <c r="GE585" s="45"/>
      <c r="GF585" s="45"/>
      <c r="GG585" s="45"/>
      <c r="GH585" s="45"/>
      <c r="GI585" s="45"/>
      <c r="GJ585" s="45"/>
      <c r="GK585" s="45"/>
      <c r="GL585" s="45"/>
      <c r="GM585" s="45"/>
      <c r="GN585" s="45"/>
      <c r="GO585" s="45"/>
      <c r="GP585" s="45"/>
      <c r="GQ585" s="45"/>
      <c r="GR585" s="45"/>
      <c r="GS585" s="45"/>
      <c r="GT585" s="45"/>
      <c r="GU585" s="45"/>
      <c r="GV585" s="45"/>
      <c r="GW585" s="45"/>
      <c r="GX585" s="45"/>
      <c r="GY585" s="45"/>
      <c r="GZ585" s="45"/>
      <c r="HA585" s="45"/>
      <c r="HB585" s="45"/>
      <c r="HC585" s="45"/>
      <c r="HD585" s="45"/>
      <c r="HE585" s="45"/>
      <c r="HF585" s="45"/>
      <c r="HG585" s="45"/>
      <c r="HH585" s="45"/>
      <c r="HI585" s="45"/>
      <c r="HJ585" s="45"/>
      <c r="HK585" s="45"/>
      <c r="HL585" s="45"/>
      <c r="HM585" s="45"/>
      <c r="HN585" s="45"/>
      <c r="HO585" s="45"/>
      <c r="HP585" s="45"/>
      <c r="HQ585" s="45"/>
      <c r="HR585" s="45"/>
      <c r="HS585" s="45"/>
      <c r="HT585" s="45"/>
      <c r="HU585" s="45"/>
      <c r="HV585" s="45"/>
      <c r="HW585" s="45"/>
      <c r="HX585" s="45"/>
      <c r="HY585" s="45"/>
    </row>
    <row r="586" spans="1:233" s="46" customFormat="1" ht="15" customHeight="1">
      <c r="A586" s="73" t="s">
        <v>44</v>
      </c>
      <c r="B586" s="26" t="s">
        <v>10</v>
      </c>
      <c r="C586" s="26" t="s">
        <v>13</v>
      </c>
      <c r="D586" s="26" t="s">
        <v>610</v>
      </c>
      <c r="E586" s="26" t="s">
        <v>67</v>
      </c>
      <c r="F586" s="26" t="s">
        <v>44</v>
      </c>
      <c r="G586" s="26" t="s">
        <v>215</v>
      </c>
      <c r="H586" s="26" t="s">
        <v>22</v>
      </c>
      <c r="I586" s="26" t="s">
        <v>641</v>
      </c>
      <c r="J586" s="26" t="s">
        <v>11</v>
      </c>
      <c r="K586" s="27" t="s">
        <v>24</v>
      </c>
      <c r="L586" s="26">
        <v>324</v>
      </c>
      <c r="M586" s="28">
        <v>110</v>
      </c>
      <c r="N586" s="82">
        <f>M586*100/L586</f>
        <v>33.950617283950621</v>
      </c>
      <c r="O586" s="28">
        <v>107</v>
      </c>
      <c r="P586" s="28">
        <v>6</v>
      </c>
      <c r="Q586" s="82">
        <f>P586*100/O586</f>
        <v>5.6074766355140184</v>
      </c>
      <c r="R586" s="31">
        <v>28</v>
      </c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  <c r="BP586" s="45"/>
      <c r="BQ586" s="45"/>
      <c r="BR586" s="45"/>
      <c r="BS586" s="45"/>
      <c r="BT586" s="45"/>
      <c r="BU586" s="45"/>
      <c r="BV586" s="45"/>
      <c r="BW586" s="45"/>
      <c r="BX586" s="45"/>
      <c r="BY586" s="45"/>
      <c r="BZ586" s="45"/>
      <c r="CA586" s="45"/>
      <c r="CB586" s="45"/>
      <c r="CC586" s="45"/>
      <c r="CD586" s="45"/>
      <c r="CE586" s="45"/>
      <c r="CF586" s="45"/>
      <c r="CG586" s="45"/>
      <c r="CH586" s="45"/>
      <c r="CI586" s="45"/>
      <c r="CJ586" s="45"/>
      <c r="CK586" s="45"/>
      <c r="CL586" s="45"/>
      <c r="CM586" s="45"/>
      <c r="CN586" s="45"/>
      <c r="CO586" s="45"/>
      <c r="CP586" s="45"/>
      <c r="CQ586" s="45"/>
      <c r="CR586" s="45"/>
      <c r="CS586" s="45"/>
      <c r="CT586" s="45"/>
      <c r="CU586" s="45"/>
      <c r="CV586" s="45"/>
      <c r="CW586" s="45"/>
      <c r="CX586" s="45"/>
      <c r="CY586" s="45"/>
      <c r="CZ586" s="45"/>
      <c r="DA586" s="45"/>
      <c r="DB586" s="45"/>
      <c r="DC586" s="45"/>
      <c r="DD586" s="45"/>
      <c r="DE586" s="45"/>
      <c r="DF586" s="45"/>
      <c r="DG586" s="45"/>
      <c r="DH586" s="45"/>
      <c r="DI586" s="45"/>
      <c r="DJ586" s="45"/>
      <c r="DK586" s="45"/>
      <c r="DL586" s="45"/>
      <c r="DM586" s="45"/>
      <c r="DN586" s="45"/>
      <c r="DO586" s="45"/>
      <c r="DP586" s="45"/>
      <c r="DQ586" s="45"/>
      <c r="DR586" s="45"/>
      <c r="DS586" s="45"/>
      <c r="DT586" s="45"/>
      <c r="DU586" s="45"/>
      <c r="DV586" s="45"/>
      <c r="DW586" s="45"/>
      <c r="DX586" s="45"/>
      <c r="DY586" s="45"/>
      <c r="DZ586" s="45"/>
      <c r="EA586" s="45"/>
      <c r="EB586" s="45"/>
      <c r="EC586" s="45"/>
      <c r="ED586" s="45"/>
      <c r="EE586" s="45"/>
      <c r="EF586" s="45"/>
      <c r="EG586" s="45"/>
      <c r="EH586" s="45"/>
      <c r="EI586" s="45"/>
      <c r="EJ586" s="45"/>
      <c r="EK586" s="45"/>
      <c r="EL586" s="45"/>
      <c r="EM586" s="45"/>
      <c r="EN586" s="45"/>
      <c r="EO586" s="45"/>
      <c r="EP586" s="45"/>
      <c r="EQ586" s="45"/>
      <c r="ER586" s="45"/>
      <c r="ES586" s="45"/>
      <c r="ET586" s="45"/>
      <c r="EU586" s="45"/>
      <c r="EV586" s="45"/>
      <c r="EW586" s="45"/>
      <c r="EX586" s="45"/>
      <c r="EY586" s="45"/>
      <c r="EZ586" s="45"/>
      <c r="FA586" s="45"/>
      <c r="FB586" s="45"/>
      <c r="FC586" s="45"/>
      <c r="FD586" s="45"/>
      <c r="FE586" s="45"/>
      <c r="FF586" s="45"/>
      <c r="FG586" s="45"/>
      <c r="FH586" s="45"/>
      <c r="FI586" s="45"/>
      <c r="FJ586" s="45"/>
      <c r="FK586" s="45"/>
      <c r="FL586" s="45"/>
      <c r="FM586" s="45"/>
      <c r="FN586" s="45"/>
      <c r="FO586" s="45"/>
      <c r="FP586" s="45"/>
      <c r="FQ586" s="45"/>
      <c r="FR586" s="45"/>
      <c r="FS586" s="45"/>
      <c r="FT586" s="45"/>
      <c r="FU586" s="45"/>
      <c r="FV586" s="45"/>
      <c r="FW586" s="45"/>
      <c r="FX586" s="45"/>
      <c r="FY586" s="45"/>
      <c r="FZ586" s="45"/>
      <c r="GA586" s="45"/>
      <c r="GB586" s="45"/>
      <c r="GC586" s="45"/>
      <c r="GD586" s="45"/>
      <c r="GE586" s="45"/>
      <c r="GF586" s="45"/>
      <c r="GG586" s="45"/>
      <c r="GH586" s="45"/>
      <c r="GI586" s="45"/>
      <c r="GJ586" s="45"/>
      <c r="GK586" s="45"/>
      <c r="GL586" s="45"/>
      <c r="GM586" s="45"/>
      <c r="GN586" s="45"/>
      <c r="GO586" s="45"/>
      <c r="GP586" s="45"/>
      <c r="GQ586" s="45"/>
      <c r="GR586" s="45"/>
      <c r="GS586" s="45"/>
      <c r="GT586" s="45"/>
      <c r="GU586" s="45"/>
      <c r="GV586" s="45"/>
      <c r="GW586" s="45"/>
      <c r="GX586" s="45"/>
      <c r="GY586" s="45"/>
      <c r="GZ586" s="45"/>
      <c r="HA586" s="45"/>
      <c r="HB586" s="45"/>
      <c r="HC586" s="45"/>
      <c r="HD586" s="45"/>
      <c r="HE586" s="45"/>
      <c r="HF586" s="45"/>
      <c r="HG586" s="45"/>
      <c r="HH586" s="45"/>
      <c r="HI586" s="45"/>
      <c r="HJ586" s="45"/>
      <c r="HK586" s="45"/>
      <c r="HL586" s="45"/>
      <c r="HM586" s="45"/>
      <c r="HN586" s="45"/>
      <c r="HO586" s="45"/>
      <c r="HP586" s="45"/>
      <c r="HQ586" s="45"/>
      <c r="HR586" s="45"/>
      <c r="HS586" s="45"/>
      <c r="HT586" s="45"/>
      <c r="HU586" s="45"/>
      <c r="HV586" s="45"/>
      <c r="HW586" s="45"/>
      <c r="HX586" s="45"/>
      <c r="HY586" s="45"/>
    </row>
    <row r="587" spans="1:233" s="46" customFormat="1" ht="15" customHeight="1">
      <c r="A587" s="73" t="s">
        <v>44</v>
      </c>
      <c r="B587" s="26" t="s">
        <v>10</v>
      </c>
      <c r="C587" s="26" t="s">
        <v>13</v>
      </c>
      <c r="D587" s="26" t="s">
        <v>610</v>
      </c>
      <c r="E587" s="26" t="s">
        <v>67</v>
      </c>
      <c r="F587" s="26" t="s">
        <v>44</v>
      </c>
      <c r="G587" s="26" t="s">
        <v>215</v>
      </c>
      <c r="H587" s="26" t="s">
        <v>22</v>
      </c>
      <c r="I587" s="26" t="s">
        <v>641</v>
      </c>
      <c r="J587" s="26" t="s">
        <v>11</v>
      </c>
      <c r="K587" s="27" t="s">
        <v>25</v>
      </c>
      <c r="L587" s="26">
        <v>197</v>
      </c>
      <c r="M587" s="28">
        <v>97</v>
      </c>
      <c r="N587" s="82">
        <f t="shared" ref="N587:N592" si="164">M587*100/L587</f>
        <v>49.238578680203048</v>
      </c>
      <c r="O587" s="28">
        <v>197</v>
      </c>
      <c r="P587" s="28">
        <v>20</v>
      </c>
      <c r="Q587" s="82">
        <f t="shared" ref="Q587:Q592" si="165">P587*100/O587</f>
        <v>10.152284263959391</v>
      </c>
      <c r="R587" s="31">
        <v>28</v>
      </c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  <c r="BP587" s="45"/>
      <c r="BQ587" s="45"/>
      <c r="BR587" s="45"/>
      <c r="BS587" s="45"/>
      <c r="BT587" s="45"/>
      <c r="BU587" s="45"/>
      <c r="BV587" s="45"/>
      <c r="BW587" s="45"/>
      <c r="BX587" s="45"/>
      <c r="BY587" s="45"/>
      <c r="BZ587" s="45"/>
      <c r="CA587" s="45"/>
      <c r="CB587" s="45"/>
      <c r="CC587" s="45"/>
      <c r="CD587" s="45"/>
      <c r="CE587" s="45"/>
      <c r="CF587" s="45"/>
      <c r="CG587" s="45"/>
      <c r="CH587" s="45"/>
      <c r="CI587" s="45"/>
      <c r="CJ587" s="45"/>
      <c r="CK587" s="45"/>
      <c r="CL587" s="45"/>
      <c r="CM587" s="45"/>
      <c r="CN587" s="45"/>
      <c r="CO587" s="45"/>
      <c r="CP587" s="45"/>
      <c r="CQ587" s="45"/>
      <c r="CR587" s="45"/>
      <c r="CS587" s="45"/>
      <c r="CT587" s="45"/>
      <c r="CU587" s="45"/>
      <c r="CV587" s="45"/>
      <c r="CW587" s="45"/>
      <c r="CX587" s="45"/>
      <c r="CY587" s="45"/>
      <c r="CZ587" s="45"/>
      <c r="DA587" s="45"/>
      <c r="DB587" s="45"/>
      <c r="DC587" s="45"/>
      <c r="DD587" s="45"/>
      <c r="DE587" s="45"/>
      <c r="DF587" s="45"/>
      <c r="DG587" s="45"/>
      <c r="DH587" s="45"/>
      <c r="DI587" s="45"/>
      <c r="DJ587" s="45"/>
      <c r="DK587" s="45"/>
      <c r="DL587" s="45"/>
      <c r="DM587" s="45"/>
      <c r="DN587" s="45"/>
      <c r="DO587" s="45"/>
      <c r="DP587" s="45"/>
      <c r="DQ587" s="45"/>
      <c r="DR587" s="45"/>
      <c r="DS587" s="45"/>
      <c r="DT587" s="45"/>
      <c r="DU587" s="45"/>
      <c r="DV587" s="45"/>
      <c r="DW587" s="45"/>
      <c r="DX587" s="45"/>
      <c r="DY587" s="45"/>
      <c r="DZ587" s="45"/>
      <c r="EA587" s="45"/>
      <c r="EB587" s="45"/>
      <c r="EC587" s="45"/>
      <c r="ED587" s="45"/>
      <c r="EE587" s="45"/>
      <c r="EF587" s="45"/>
      <c r="EG587" s="45"/>
      <c r="EH587" s="45"/>
      <c r="EI587" s="45"/>
      <c r="EJ587" s="45"/>
      <c r="EK587" s="45"/>
      <c r="EL587" s="45"/>
      <c r="EM587" s="45"/>
      <c r="EN587" s="45"/>
      <c r="EO587" s="45"/>
      <c r="EP587" s="45"/>
      <c r="EQ587" s="45"/>
      <c r="ER587" s="45"/>
      <c r="ES587" s="45"/>
      <c r="ET587" s="45"/>
      <c r="EU587" s="45"/>
      <c r="EV587" s="45"/>
      <c r="EW587" s="45"/>
      <c r="EX587" s="45"/>
      <c r="EY587" s="45"/>
      <c r="EZ587" s="45"/>
      <c r="FA587" s="45"/>
      <c r="FB587" s="45"/>
      <c r="FC587" s="45"/>
      <c r="FD587" s="45"/>
      <c r="FE587" s="45"/>
      <c r="FF587" s="45"/>
      <c r="FG587" s="45"/>
      <c r="FH587" s="45"/>
      <c r="FI587" s="45"/>
      <c r="FJ587" s="45"/>
      <c r="FK587" s="45"/>
      <c r="FL587" s="45"/>
      <c r="FM587" s="45"/>
      <c r="FN587" s="45"/>
      <c r="FO587" s="45"/>
      <c r="FP587" s="45"/>
      <c r="FQ587" s="45"/>
      <c r="FR587" s="45"/>
      <c r="FS587" s="45"/>
      <c r="FT587" s="45"/>
      <c r="FU587" s="45"/>
      <c r="FV587" s="45"/>
      <c r="FW587" s="45"/>
      <c r="FX587" s="45"/>
      <c r="FY587" s="45"/>
      <c r="FZ587" s="45"/>
      <c r="GA587" s="45"/>
      <c r="GB587" s="45"/>
      <c r="GC587" s="45"/>
      <c r="GD587" s="45"/>
      <c r="GE587" s="45"/>
      <c r="GF587" s="45"/>
      <c r="GG587" s="45"/>
      <c r="GH587" s="45"/>
      <c r="GI587" s="45"/>
      <c r="GJ587" s="45"/>
      <c r="GK587" s="45"/>
      <c r="GL587" s="45"/>
      <c r="GM587" s="45"/>
      <c r="GN587" s="45"/>
      <c r="GO587" s="45"/>
      <c r="GP587" s="45"/>
      <c r="GQ587" s="45"/>
      <c r="GR587" s="45"/>
      <c r="GS587" s="45"/>
      <c r="GT587" s="45"/>
      <c r="GU587" s="45"/>
      <c r="GV587" s="45"/>
      <c r="GW587" s="45"/>
      <c r="GX587" s="45"/>
      <c r="GY587" s="45"/>
      <c r="GZ587" s="45"/>
      <c r="HA587" s="45"/>
      <c r="HB587" s="45"/>
      <c r="HC587" s="45"/>
      <c r="HD587" s="45"/>
      <c r="HE587" s="45"/>
      <c r="HF587" s="45"/>
      <c r="HG587" s="45"/>
      <c r="HH587" s="45"/>
      <c r="HI587" s="45"/>
      <c r="HJ587" s="45"/>
      <c r="HK587" s="45"/>
      <c r="HL587" s="45"/>
      <c r="HM587" s="45"/>
      <c r="HN587" s="45"/>
      <c r="HO587" s="45"/>
      <c r="HP587" s="45"/>
      <c r="HQ587" s="45"/>
      <c r="HR587" s="45"/>
      <c r="HS587" s="45"/>
      <c r="HT587" s="45"/>
      <c r="HU587" s="45"/>
      <c r="HV587" s="45"/>
      <c r="HW587" s="45"/>
      <c r="HX587" s="45"/>
      <c r="HY587" s="45"/>
    </row>
    <row r="588" spans="1:233" s="46" customFormat="1" ht="15" customHeight="1">
      <c r="A588" s="73" t="s">
        <v>44</v>
      </c>
      <c r="B588" s="26" t="s">
        <v>10</v>
      </c>
      <c r="C588" s="26" t="s">
        <v>13</v>
      </c>
      <c r="D588" s="26" t="s">
        <v>610</v>
      </c>
      <c r="E588" s="26" t="s">
        <v>67</v>
      </c>
      <c r="F588" s="26" t="s">
        <v>44</v>
      </c>
      <c r="G588" s="26" t="s">
        <v>215</v>
      </c>
      <c r="H588" s="26" t="s">
        <v>22</v>
      </c>
      <c r="I588" s="26" t="s">
        <v>641</v>
      </c>
      <c r="J588" s="26" t="s">
        <v>11</v>
      </c>
      <c r="K588" s="27" t="s">
        <v>26</v>
      </c>
      <c r="L588" s="26">
        <v>259</v>
      </c>
      <c r="M588" s="28">
        <v>139</v>
      </c>
      <c r="N588" s="82">
        <f t="shared" si="164"/>
        <v>53.667953667953668</v>
      </c>
      <c r="O588" s="28">
        <v>259</v>
      </c>
      <c r="P588" s="28">
        <v>39</v>
      </c>
      <c r="Q588" s="82">
        <f t="shared" si="165"/>
        <v>15.057915057915057</v>
      </c>
      <c r="R588" s="31">
        <v>28</v>
      </c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  <c r="BP588" s="45"/>
      <c r="BQ588" s="45"/>
      <c r="BR588" s="45"/>
      <c r="BS588" s="45"/>
      <c r="BT588" s="45"/>
      <c r="BU588" s="45"/>
      <c r="BV588" s="45"/>
      <c r="BW588" s="45"/>
      <c r="BX588" s="45"/>
      <c r="BY588" s="45"/>
      <c r="BZ588" s="45"/>
      <c r="CA588" s="45"/>
      <c r="CB588" s="45"/>
      <c r="CC588" s="45"/>
      <c r="CD588" s="45"/>
      <c r="CE588" s="45"/>
      <c r="CF588" s="45"/>
      <c r="CG588" s="45"/>
      <c r="CH588" s="45"/>
      <c r="CI588" s="45"/>
      <c r="CJ588" s="45"/>
      <c r="CK588" s="45"/>
      <c r="CL588" s="45"/>
      <c r="CM588" s="45"/>
      <c r="CN588" s="45"/>
      <c r="CO588" s="45"/>
      <c r="CP588" s="45"/>
      <c r="CQ588" s="45"/>
      <c r="CR588" s="45"/>
      <c r="CS588" s="45"/>
      <c r="CT588" s="45"/>
      <c r="CU588" s="45"/>
      <c r="CV588" s="45"/>
      <c r="CW588" s="45"/>
      <c r="CX588" s="45"/>
      <c r="CY588" s="45"/>
      <c r="CZ588" s="45"/>
      <c r="DA588" s="45"/>
      <c r="DB588" s="45"/>
      <c r="DC588" s="45"/>
      <c r="DD588" s="45"/>
      <c r="DE588" s="45"/>
      <c r="DF588" s="45"/>
      <c r="DG588" s="45"/>
      <c r="DH588" s="45"/>
      <c r="DI588" s="45"/>
      <c r="DJ588" s="45"/>
      <c r="DK588" s="45"/>
      <c r="DL588" s="45"/>
      <c r="DM588" s="45"/>
      <c r="DN588" s="45"/>
      <c r="DO588" s="45"/>
      <c r="DP588" s="45"/>
      <c r="DQ588" s="45"/>
      <c r="DR588" s="45"/>
      <c r="DS588" s="45"/>
      <c r="DT588" s="45"/>
      <c r="DU588" s="45"/>
      <c r="DV588" s="45"/>
      <c r="DW588" s="45"/>
      <c r="DX588" s="45"/>
      <c r="DY588" s="45"/>
      <c r="DZ588" s="45"/>
      <c r="EA588" s="45"/>
      <c r="EB588" s="45"/>
      <c r="EC588" s="45"/>
      <c r="ED588" s="45"/>
      <c r="EE588" s="45"/>
      <c r="EF588" s="45"/>
      <c r="EG588" s="45"/>
      <c r="EH588" s="45"/>
      <c r="EI588" s="45"/>
      <c r="EJ588" s="45"/>
      <c r="EK588" s="45"/>
      <c r="EL588" s="45"/>
      <c r="EM588" s="45"/>
      <c r="EN588" s="45"/>
      <c r="EO588" s="45"/>
      <c r="EP588" s="45"/>
      <c r="EQ588" s="45"/>
      <c r="ER588" s="45"/>
      <c r="ES588" s="45"/>
      <c r="ET588" s="45"/>
      <c r="EU588" s="45"/>
      <c r="EV588" s="45"/>
      <c r="EW588" s="45"/>
      <c r="EX588" s="45"/>
      <c r="EY588" s="45"/>
      <c r="EZ588" s="45"/>
      <c r="FA588" s="45"/>
      <c r="FB588" s="45"/>
      <c r="FC588" s="45"/>
      <c r="FD588" s="45"/>
      <c r="FE588" s="45"/>
      <c r="FF588" s="45"/>
      <c r="FG588" s="45"/>
      <c r="FH588" s="45"/>
      <c r="FI588" s="45"/>
      <c r="FJ588" s="45"/>
      <c r="FK588" s="45"/>
      <c r="FL588" s="45"/>
      <c r="FM588" s="45"/>
      <c r="FN588" s="45"/>
      <c r="FO588" s="45"/>
      <c r="FP588" s="45"/>
      <c r="FQ588" s="45"/>
      <c r="FR588" s="45"/>
      <c r="FS588" s="45"/>
      <c r="FT588" s="45"/>
      <c r="FU588" s="45"/>
      <c r="FV588" s="45"/>
      <c r="FW588" s="45"/>
      <c r="FX588" s="45"/>
      <c r="FY588" s="45"/>
      <c r="FZ588" s="45"/>
      <c r="GA588" s="45"/>
      <c r="GB588" s="45"/>
      <c r="GC588" s="45"/>
      <c r="GD588" s="45"/>
      <c r="GE588" s="45"/>
      <c r="GF588" s="45"/>
      <c r="GG588" s="45"/>
      <c r="GH588" s="45"/>
      <c r="GI588" s="45"/>
      <c r="GJ588" s="45"/>
      <c r="GK588" s="45"/>
      <c r="GL588" s="45"/>
      <c r="GM588" s="45"/>
      <c r="GN588" s="45"/>
      <c r="GO588" s="45"/>
      <c r="GP588" s="45"/>
      <c r="GQ588" s="45"/>
      <c r="GR588" s="45"/>
      <c r="GS588" s="45"/>
      <c r="GT588" s="45"/>
      <c r="GU588" s="45"/>
      <c r="GV588" s="45"/>
      <c r="GW588" s="45"/>
      <c r="GX588" s="45"/>
      <c r="GY588" s="45"/>
      <c r="GZ588" s="45"/>
      <c r="HA588" s="45"/>
      <c r="HB588" s="45"/>
      <c r="HC588" s="45"/>
      <c r="HD588" s="45"/>
      <c r="HE588" s="45"/>
      <c r="HF588" s="45"/>
      <c r="HG588" s="45"/>
      <c r="HH588" s="45"/>
      <c r="HI588" s="45"/>
      <c r="HJ588" s="45"/>
      <c r="HK588" s="45"/>
      <c r="HL588" s="45"/>
      <c r="HM588" s="45"/>
      <c r="HN588" s="45"/>
      <c r="HO588" s="45"/>
      <c r="HP588" s="45"/>
      <c r="HQ588" s="45"/>
      <c r="HR588" s="45"/>
      <c r="HS588" s="45"/>
      <c r="HT588" s="45"/>
      <c r="HU588" s="45"/>
      <c r="HV588" s="45"/>
      <c r="HW588" s="45"/>
      <c r="HX588" s="45"/>
      <c r="HY588" s="45"/>
    </row>
    <row r="589" spans="1:233" s="46" customFormat="1" ht="15" customHeight="1">
      <c r="A589" s="73" t="s">
        <v>44</v>
      </c>
      <c r="B589" s="26" t="s">
        <v>10</v>
      </c>
      <c r="C589" s="26" t="s">
        <v>13</v>
      </c>
      <c r="D589" s="26" t="s">
        <v>610</v>
      </c>
      <c r="E589" s="26" t="s">
        <v>67</v>
      </c>
      <c r="F589" s="26" t="s">
        <v>44</v>
      </c>
      <c r="G589" s="26" t="s">
        <v>215</v>
      </c>
      <c r="H589" s="26" t="s">
        <v>22</v>
      </c>
      <c r="I589" s="26" t="s">
        <v>641</v>
      </c>
      <c r="J589" s="26" t="s">
        <v>11</v>
      </c>
      <c r="K589" s="27" t="s">
        <v>27</v>
      </c>
      <c r="L589" s="26">
        <v>225</v>
      </c>
      <c r="M589" s="28">
        <v>143</v>
      </c>
      <c r="N589" s="82">
        <f t="shared" si="164"/>
        <v>63.555555555555557</v>
      </c>
      <c r="O589" s="28">
        <v>225</v>
      </c>
      <c r="P589" s="28">
        <v>47</v>
      </c>
      <c r="Q589" s="82">
        <f t="shared" si="165"/>
        <v>20.888888888888889</v>
      </c>
      <c r="R589" s="31">
        <v>28</v>
      </c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  <c r="BP589" s="45"/>
      <c r="BQ589" s="45"/>
      <c r="BR589" s="45"/>
      <c r="BS589" s="45"/>
      <c r="BT589" s="45"/>
      <c r="BU589" s="45"/>
      <c r="BV589" s="45"/>
      <c r="BW589" s="45"/>
      <c r="BX589" s="45"/>
      <c r="BY589" s="45"/>
      <c r="BZ589" s="45"/>
      <c r="CA589" s="45"/>
      <c r="CB589" s="45"/>
      <c r="CC589" s="45"/>
      <c r="CD589" s="45"/>
      <c r="CE589" s="45"/>
      <c r="CF589" s="45"/>
      <c r="CG589" s="45"/>
      <c r="CH589" s="45"/>
      <c r="CI589" s="45"/>
      <c r="CJ589" s="45"/>
      <c r="CK589" s="45"/>
      <c r="CL589" s="45"/>
      <c r="CM589" s="45"/>
      <c r="CN589" s="45"/>
      <c r="CO589" s="45"/>
      <c r="CP589" s="45"/>
      <c r="CQ589" s="45"/>
      <c r="CR589" s="45"/>
      <c r="CS589" s="45"/>
      <c r="CT589" s="45"/>
      <c r="CU589" s="45"/>
      <c r="CV589" s="45"/>
      <c r="CW589" s="45"/>
      <c r="CX589" s="45"/>
      <c r="CY589" s="45"/>
      <c r="CZ589" s="45"/>
      <c r="DA589" s="45"/>
      <c r="DB589" s="45"/>
      <c r="DC589" s="45"/>
      <c r="DD589" s="45"/>
      <c r="DE589" s="45"/>
      <c r="DF589" s="45"/>
      <c r="DG589" s="45"/>
      <c r="DH589" s="45"/>
      <c r="DI589" s="45"/>
      <c r="DJ589" s="45"/>
      <c r="DK589" s="45"/>
      <c r="DL589" s="45"/>
      <c r="DM589" s="45"/>
      <c r="DN589" s="45"/>
      <c r="DO589" s="45"/>
      <c r="DP589" s="45"/>
      <c r="DQ589" s="45"/>
      <c r="DR589" s="45"/>
      <c r="DS589" s="45"/>
      <c r="DT589" s="45"/>
      <c r="DU589" s="45"/>
      <c r="DV589" s="45"/>
      <c r="DW589" s="45"/>
      <c r="DX589" s="45"/>
      <c r="DY589" s="45"/>
      <c r="DZ589" s="45"/>
      <c r="EA589" s="45"/>
      <c r="EB589" s="45"/>
      <c r="EC589" s="45"/>
      <c r="ED589" s="45"/>
      <c r="EE589" s="45"/>
      <c r="EF589" s="45"/>
      <c r="EG589" s="45"/>
      <c r="EH589" s="45"/>
      <c r="EI589" s="45"/>
      <c r="EJ589" s="45"/>
      <c r="EK589" s="45"/>
      <c r="EL589" s="45"/>
      <c r="EM589" s="45"/>
      <c r="EN589" s="45"/>
      <c r="EO589" s="45"/>
      <c r="EP589" s="45"/>
      <c r="EQ589" s="45"/>
      <c r="ER589" s="45"/>
      <c r="ES589" s="45"/>
      <c r="ET589" s="45"/>
      <c r="EU589" s="45"/>
      <c r="EV589" s="45"/>
      <c r="EW589" s="45"/>
      <c r="EX589" s="45"/>
      <c r="EY589" s="45"/>
      <c r="EZ589" s="45"/>
      <c r="FA589" s="45"/>
      <c r="FB589" s="45"/>
      <c r="FC589" s="45"/>
      <c r="FD589" s="45"/>
      <c r="FE589" s="45"/>
      <c r="FF589" s="45"/>
      <c r="FG589" s="45"/>
      <c r="FH589" s="45"/>
      <c r="FI589" s="45"/>
      <c r="FJ589" s="45"/>
      <c r="FK589" s="45"/>
      <c r="FL589" s="45"/>
      <c r="FM589" s="45"/>
      <c r="FN589" s="45"/>
      <c r="FO589" s="45"/>
      <c r="FP589" s="45"/>
      <c r="FQ589" s="45"/>
      <c r="FR589" s="45"/>
      <c r="FS589" s="45"/>
      <c r="FT589" s="45"/>
      <c r="FU589" s="45"/>
      <c r="FV589" s="45"/>
      <c r="FW589" s="45"/>
      <c r="FX589" s="45"/>
      <c r="FY589" s="45"/>
      <c r="FZ589" s="45"/>
      <c r="GA589" s="45"/>
      <c r="GB589" s="45"/>
      <c r="GC589" s="45"/>
      <c r="GD589" s="45"/>
      <c r="GE589" s="45"/>
      <c r="GF589" s="45"/>
      <c r="GG589" s="45"/>
      <c r="GH589" s="45"/>
      <c r="GI589" s="45"/>
      <c r="GJ589" s="45"/>
      <c r="GK589" s="45"/>
      <c r="GL589" s="45"/>
      <c r="GM589" s="45"/>
      <c r="GN589" s="45"/>
      <c r="GO589" s="45"/>
      <c r="GP589" s="45"/>
      <c r="GQ589" s="45"/>
      <c r="GR589" s="45"/>
      <c r="GS589" s="45"/>
      <c r="GT589" s="45"/>
      <c r="GU589" s="45"/>
      <c r="GV589" s="45"/>
      <c r="GW589" s="45"/>
      <c r="GX589" s="45"/>
      <c r="GY589" s="45"/>
      <c r="GZ589" s="45"/>
      <c r="HA589" s="45"/>
      <c r="HB589" s="45"/>
      <c r="HC589" s="45"/>
      <c r="HD589" s="45"/>
      <c r="HE589" s="45"/>
      <c r="HF589" s="45"/>
      <c r="HG589" s="45"/>
      <c r="HH589" s="45"/>
      <c r="HI589" s="45"/>
      <c r="HJ589" s="45"/>
      <c r="HK589" s="45"/>
      <c r="HL589" s="45"/>
      <c r="HM589" s="45"/>
      <c r="HN589" s="45"/>
      <c r="HO589" s="45"/>
      <c r="HP589" s="45"/>
      <c r="HQ589" s="45"/>
      <c r="HR589" s="45"/>
      <c r="HS589" s="45"/>
      <c r="HT589" s="45"/>
      <c r="HU589" s="45"/>
      <c r="HV589" s="45"/>
      <c r="HW589" s="45"/>
      <c r="HX589" s="45"/>
      <c r="HY589" s="45"/>
    </row>
    <row r="590" spans="1:233" s="46" customFormat="1" ht="15" customHeight="1">
      <c r="A590" s="73" t="s">
        <v>44</v>
      </c>
      <c r="B590" s="26" t="s">
        <v>10</v>
      </c>
      <c r="C590" s="26" t="s">
        <v>13</v>
      </c>
      <c r="D590" s="26" t="s">
        <v>610</v>
      </c>
      <c r="E590" s="26" t="s">
        <v>67</v>
      </c>
      <c r="F590" s="26" t="s">
        <v>44</v>
      </c>
      <c r="G590" s="26" t="s">
        <v>215</v>
      </c>
      <c r="H590" s="26" t="s">
        <v>22</v>
      </c>
      <c r="I590" s="26" t="s">
        <v>641</v>
      </c>
      <c r="J590" s="26" t="s">
        <v>11</v>
      </c>
      <c r="K590" s="27" t="s">
        <v>28</v>
      </c>
      <c r="L590" s="26">
        <v>220</v>
      </c>
      <c r="M590" s="28">
        <v>154</v>
      </c>
      <c r="N590" s="82">
        <f t="shared" si="164"/>
        <v>70</v>
      </c>
      <c r="O590" s="28">
        <v>219</v>
      </c>
      <c r="P590" s="28">
        <v>50</v>
      </c>
      <c r="Q590" s="82">
        <f t="shared" si="165"/>
        <v>22.831050228310502</v>
      </c>
      <c r="R590" s="31">
        <v>28</v>
      </c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  <c r="BP590" s="45"/>
      <c r="BQ590" s="45"/>
      <c r="BR590" s="45"/>
      <c r="BS590" s="45"/>
      <c r="BT590" s="45"/>
      <c r="BU590" s="45"/>
      <c r="BV590" s="45"/>
      <c r="BW590" s="45"/>
      <c r="BX590" s="45"/>
      <c r="BY590" s="45"/>
      <c r="BZ590" s="45"/>
      <c r="CA590" s="45"/>
      <c r="CB590" s="45"/>
      <c r="CC590" s="45"/>
      <c r="CD590" s="45"/>
      <c r="CE590" s="45"/>
      <c r="CF590" s="45"/>
      <c r="CG590" s="45"/>
      <c r="CH590" s="45"/>
      <c r="CI590" s="45"/>
      <c r="CJ590" s="45"/>
      <c r="CK590" s="45"/>
      <c r="CL590" s="45"/>
      <c r="CM590" s="45"/>
      <c r="CN590" s="45"/>
      <c r="CO590" s="45"/>
      <c r="CP590" s="45"/>
      <c r="CQ590" s="45"/>
      <c r="CR590" s="45"/>
      <c r="CS590" s="45"/>
      <c r="CT590" s="45"/>
      <c r="CU590" s="45"/>
      <c r="CV590" s="45"/>
      <c r="CW590" s="45"/>
      <c r="CX590" s="45"/>
      <c r="CY590" s="45"/>
      <c r="CZ590" s="45"/>
      <c r="DA590" s="45"/>
      <c r="DB590" s="45"/>
      <c r="DC590" s="45"/>
      <c r="DD590" s="45"/>
      <c r="DE590" s="45"/>
      <c r="DF590" s="45"/>
      <c r="DG590" s="45"/>
      <c r="DH590" s="45"/>
      <c r="DI590" s="45"/>
      <c r="DJ590" s="45"/>
      <c r="DK590" s="45"/>
      <c r="DL590" s="45"/>
      <c r="DM590" s="45"/>
      <c r="DN590" s="45"/>
      <c r="DO590" s="45"/>
      <c r="DP590" s="45"/>
      <c r="DQ590" s="45"/>
      <c r="DR590" s="45"/>
      <c r="DS590" s="45"/>
      <c r="DT590" s="45"/>
      <c r="DU590" s="45"/>
      <c r="DV590" s="45"/>
      <c r="DW590" s="45"/>
      <c r="DX590" s="45"/>
      <c r="DY590" s="45"/>
      <c r="DZ590" s="45"/>
      <c r="EA590" s="45"/>
      <c r="EB590" s="45"/>
      <c r="EC590" s="45"/>
      <c r="ED590" s="45"/>
      <c r="EE590" s="45"/>
      <c r="EF590" s="45"/>
      <c r="EG590" s="45"/>
      <c r="EH590" s="45"/>
      <c r="EI590" s="45"/>
      <c r="EJ590" s="45"/>
      <c r="EK590" s="45"/>
      <c r="EL590" s="45"/>
      <c r="EM590" s="45"/>
      <c r="EN590" s="45"/>
      <c r="EO590" s="45"/>
      <c r="EP590" s="45"/>
      <c r="EQ590" s="45"/>
      <c r="ER590" s="45"/>
      <c r="ES590" s="45"/>
      <c r="ET590" s="45"/>
      <c r="EU590" s="45"/>
      <c r="EV590" s="45"/>
      <c r="EW590" s="45"/>
      <c r="EX590" s="45"/>
      <c r="EY590" s="45"/>
      <c r="EZ590" s="45"/>
      <c r="FA590" s="45"/>
      <c r="FB590" s="45"/>
      <c r="FC590" s="45"/>
      <c r="FD590" s="45"/>
      <c r="FE590" s="45"/>
      <c r="FF590" s="45"/>
      <c r="FG590" s="45"/>
      <c r="FH590" s="45"/>
      <c r="FI590" s="45"/>
      <c r="FJ590" s="45"/>
      <c r="FK590" s="45"/>
      <c r="FL590" s="45"/>
      <c r="FM590" s="45"/>
      <c r="FN590" s="45"/>
      <c r="FO590" s="45"/>
      <c r="FP590" s="45"/>
      <c r="FQ590" s="45"/>
      <c r="FR590" s="45"/>
      <c r="FS590" s="45"/>
      <c r="FT590" s="45"/>
      <c r="FU590" s="45"/>
      <c r="FV590" s="45"/>
      <c r="FW590" s="45"/>
      <c r="FX590" s="45"/>
      <c r="FY590" s="45"/>
      <c r="FZ590" s="45"/>
      <c r="GA590" s="45"/>
      <c r="GB590" s="45"/>
      <c r="GC590" s="45"/>
      <c r="GD590" s="45"/>
      <c r="GE590" s="45"/>
      <c r="GF590" s="45"/>
      <c r="GG590" s="45"/>
      <c r="GH590" s="45"/>
      <c r="GI590" s="45"/>
      <c r="GJ590" s="45"/>
      <c r="GK590" s="45"/>
      <c r="GL590" s="45"/>
      <c r="GM590" s="45"/>
      <c r="GN590" s="45"/>
      <c r="GO590" s="45"/>
      <c r="GP590" s="45"/>
      <c r="GQ590" s="45"/>
      <c r="GR590" s="45"/>
      <c r="GS590" s="45"/>
      <c r="GT590" s="45"/>
      <c r="GU590" s="45"/>
      <c r="GV590" s="45"/>
      <c r="GW590" s="45"/>
      <c r="GX590" s="45"/>
      <c r="GY590" s="45"/>
      <c r="GZ590" s="45"/>
      <c r="HA590" s="45"/>
      <c r="HB590" s="45"/>
      <c r="HC590" s="45"/>
      <c r="HD590" s="45"/>
      <c r="HE590" s="45"/>
      <c r="HF590" s="45"/>
      <c r="HG590" s="45"/>
      <c r="HH590" s="45"/>
      <c r="HI590" s="45"/>
      <c r="HJ590" s="45"/>
      <c r="HK590" s="45"/>
      <c r="HL590" s="45"/>
      <c r="HM590" s="45"/>
      <c r="HN590" s="45"/>
      <c r="HO590" s="45"/>
      <c r="HP590" s="45"/>
      <c r="HQ590" s="45"/>
      <c r="HR590" s="45"/>
      <c r="HS590" s="45"/>
      <c r="HT590" s="45"/>
      <c r="HU590" s="45"/>
      <c r="HV590" s="45"/>
      <c r="HW590" s="45"/>
      <c r="HX590" s="45"/>
      <c r="HY590" s="45"/>
    </row>
    <row r="591" spans="1:233" s="46" customFormat="1" ht="15" customHeight="1">
      <c r="A591" s="73" t="s">
        <v>44</v>
      </c>
      <c r="B591" s="26" t="s">
        <v>10</v>
      </c>
      <c r="C591" s="26" t="s">
        <v>13</v>
      </c>
      <c r="D591" s="26" t="s">
        <v>610</v>
      </c>
      <c r="E591" s="26" t="s">
        <v>67</v>
      </c>
      <c r="F591" s="26" t="s">
        <v>44</v>
      </c>
      <c r="G591" s="26" t="s">
        <v>215</v>
      </c>
      <c r="H591" s="26" t="s">
        <v>22</v>
      </c>
      <c r="I591" s="26" t="s">
        <v>641</v>
      </c>
      <c r="J591" s="26" t="s">
        <v>11</v>
      </c>
      <c r="K591" s="27" t="s">
        <v>72</v>
      </c>
      <c r="L591" s="26">
        <v>248</v>
      </c>
      <c r="M591" s="28">
        <v>171</v>
      </c>
      <c r="N591" s="82">
        <f t="shared" si="164"/>
        <v>68.951612903225808</v>
      </c>
      <c r="O591" s="28">
        <v>248</v>
      </c>
      <c r="P591" s="28">
        <v>84</v>
      </c>
      <c r="Q591" s="82">
        <f t="shared" si="165"/>
        <v>33.87096774193548</v>
      </c>
      <c r="R591" s="31">
        <v>28</v>
      </c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  <c r="BP591" s="45"/>
      <c r="BQ591" s="45"/>
      <c r="BR591" s="45"/>
      <c r="BS591" s="45"/>
      <c r="BT591" s="45"/>
      <c r="BU591" s="45"/>
      <c r="BV591" s="45"/>
      <c r="BW591" s="45"/>
      <c r="BX591" s="45"/>
      <c r="BY591" s="45"/>
      <c r="BZ591" s="45"/>
      <c r="CA591" s="45"/>
      <c r="CB591" s="45"/>
      <c r="CC591" s="45"/>
      <c r="CD591" s="45"/>
      <c r="CE591" s="45"/>
      <c r="CF591" s="45"/>
      <c r="CG591" s="45"/>
      <c r="CH591" s="45"/>
      <c r="CI591" s="45"/>
      <c r="CJ591" s="45"/>
      <c r="CK591" s="45"/>
      <c r="CL591" s="45"/>
      <c r="CM591" s="45"/>
      <c r="CN591" s="45"/>
      <c r="CO591" s="45"/>
      <c r="CP591" s="45"/>
      <c r="CQ591" s="45"/>
      <c r="CR591" s="45"/>
      <c r="CS591" s="45"/>
      <c r="CT591" s="45"/>
      <c r="CU591" s="45"/>
      <c r="CV591" s="45"/>
      <c r="CW591" s="45"/>
      <c r="CX591" s="45"/>
      <c r="CY591" s="45"/>
      <c r="CZ591" s="45"/>
      <c r="DA591" s="45"/>
      <c r="DB591" s="45"/>
      <c r="DC591" s="45"/>
      <c r="DD591" s="45"/>
      <c r="DE591" s="45"/>
      <c r="DF591" s="45"/>
      <c r="DG591" s="45"/>
      <c r="DH591" s="45"/>
      <c r="DI591" s="45"/>
      <c r="DJ591" s="45"/>
      <c r="DK591" s="45"/>
      <c r="DL591" s="45"/>
      <c r="DM591" s="45"/>
      <c r="DN591" s="45"/>
      <c r="DO591" s="45"/>
      <c r="DP591" s="45"/>
      <c r="DQ591" s="45"/>
      <c r="DR591" s="45"/>
      <c r="DS591" s="45"/>
      <c r="DT591" s="45"/>
      <c r="DU591" s="45"/>
      <c r="DV591" s="45"/>
      <c r="DW591" s="45"/>
      <c r="DX591" s="45"/>
      <c r="DY591" s="45"/>
      <c r="DZ591" s="45"/>
      <c r="EA591" s="45"/>
      <c r="EB591" s="45"/>
      <c r="EC591" s="45"/>
      <c r="ED591" s="45"/>
      <c r="EE591" s="45"/>
      <c r="EF591" s="45"/>
      <c r="EG591" s="45"/>
      <c r="EH591" s="45"/>
      <c r="EI591" s="45"/>
      <c r="EJ591" s="45"/>
      <c r="EK591" s="45"/>
      <c r="EL591" s="45"/>
      <c r="EM591" s="45"/>
      <c r="EN591" s="45"/>
      <c r="EO591" s="45"/>
      <c r="EP591" s="45"/>
      <c r="EQ591" s="45"/>
      <c r="ER591" s="45"/>
      <c r="ES591" s="45"/>
      <c r="ET591" s="45"/>
      <c r="EU591" s="45"/>
      <c r="EV591" s="45"/>
      <c r="EW591" s="45"/>
      <c r="EX591" s="45"/>
      <c r="EY591" s="45"/>
      <c r="EZ591" s="45"/>
      <c r="FA591" s="45"/>
      <c r="FB591" s="45"/>
      <c r="FC591" s="45"/>
      <c r="FD591" s="45"/>
      <c r="FE591" s="45"/>
      <c r="FF591" s="45"/>
      <c r="FG591" s="45"/>
      <c r="FH591" s="45"/>
      <c r="FI591" s="45"/>
      <c r="FJ591" s="45"/>
      <c r="FK591" s="45"/>
      <c r="FL591" s="45"/>
      <c r="FM591" s="45"/>
      <c r="FN591" s="45"/>
      <c r="FO591" s="45"/>
      <c r="FP591" s="45"/>
      <c r="FQ591" s="45"/>
      <c r="FR591" s="45"/>
      <c r="FS591" s="45"/>
      <c r="FT591" s="45"/>
      <c r="FU591" s="45"/>
      <c r="FV591" s="45"/>
      <c r="FW591" s="45"/>
      <c r="FX591" s="45"/>
      <c r="FY591" s="45"/>
      <c r="FZ591" s="45"/>
      <c r="GA591" s="45"/>
      <c r="GB591" s="45"/>
      <c r="GC591" s="45"/>
      <c r="GD591" s="45"/>
      <c r="GE591" s="45"/>
      <c r="GF591" s="45"/>
      <c r="GG591" s="45"/>
      <c r="GH591" s="45"/>
      <c r="GI591" s="45"/>
      <c r="GJ591" s="45"/>
      <c r="GK591" s="45"/>
      <c r="GL591" s="45"/>
      <c r="GM591" s="45"/>
      <c r="GN591" s="45"/>
      <c r="GO591" s="45"/>
      <c r="GP591" s="45"/>
      <c r="GQ591" s="45"/>
      <c r="GR591" s="45"/>
      <c r="GS591" s="45"/>
      <c r="GT591" s="45"/>
      <c r="GU591" s="45"/>
      <c r="GV591" s="45"/>
      <c r="GW591" s="45"/>
      <c r="GX591" s="45"/>
      <c r="GY591" s="45"/>
      <c r="GZ591" s="45"/>
      <c r="HA591" s="45"/>
      <c r="HB591" s="45"/>
      <c r="HC591" s="45"/>
      <c r="HD591" s="45"/>
      <c r="HE591" s="45"/>
      <c r="HF591" s="45"/>
      <c r="HG591" s="45"/>
      <c r="HH591" s="45"/>
      <c r="HI591" s="45"/>
      <c r="HJ591" s="45"/>
      <c r="HK591" s="45"/>
      <c r="HL591" s="45"/>
      <c r="HM591" s="45"/>
      <c r="HN591" s="45"/>
      <c r="HO591" s="45"/>
      <c r="HP591" s="45"/>
      <c r="HQ591" s="45"/>
      <c r="HR591" s="45"/>
      <c r="HS591" s="45"/>
      <c r="HT591" s="45"/>
      <c r="HU591" s="45"/>
      <c r="HV591" s="45"/>
      <c r="HW591" s="45"/>
      <c r="HX591" s="45"/>
      <c r="HY591" s="45"/>
    </row>
    <row r="592" spans="1:233" s="46" customFormat="1" ht="15" customHeight="1">
      <c r="A592" s="73" t="s">
        <v>44</v>
      </c>
      <c r="B592" s="26" t="s">
        <v>10</v>
      </c>
      <c r="C592" s="26" t="s">
        <v>13</v>
      </c>
      <c r="D592" s="26" t="s">
        <v>610</v>
      </c>
      <c r="E592" s="26" t="s">
        <v>67</v>
      </c>
      <c r="F592" s="26" t="s">
        <v>44</v>
      </c>
      <c r="G592" s="26" t="s">
        <v>215</v>
      </c>
      <c r="H592" s="26" t="s">
        <v>22</v>
      </c>
      <c r="I592" s="26" t="s">
        <v>641</v>
      </c>
      <c r="J592" s="26" t="s">
        <v>11</v>
      </c>
      <c r="K592" s="27" t="s">
        <v>73</v>
      </c>
      <c r="L592" s="26">
        <v>227</v>
      </c>
      <c r="M592" s="28">
        <v>172</v>
      </c>
      <c r="N592" s="82">
        <f t="shared" si="164"/>
        <v>75.770925110132154</v>
      </c>
      <c r="O592" s="28">
        <v>228</v>
      </c>
      <c r="P592" s="28">
        <v>83</v>
      </c>
      <c r="Q592" s="82">
        <f t="shared" si="165"/>
        <v>36.403508771929822</v>
      </c>
      <c r="R592" s="31">
        <v>28</v>
      </c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  <c r="BP592" s="45"/>
      <c r="BQ592" s="45"/>
      <c r="BR592" s="45"/>
      <c r="BS592" s="45"/>
      <c r="BT592" s="45"/>
      <c r="BU592" s="45"/>
      <c r="BV592" s="45"/>
      <c r="BW592" s="45"/>
      <c r="BX592" s="45"/>
      <c r="BY592" s="45"/>
      <c r="BZ592" s="45"/>
      <c r="CA592" s="45"/>
      <c r="CB592" s="45"/>
      <c r="CC592" s="45"/>
      <c r="CD592" s="45"/>
      <c r="CE592" s="45"/>
      <c r="CF592" s="45"/>
      <c r="CG592" s="45"/>
      <c r="CH592" s="45"/>
      <c r="CI592" s="45"/>
      <c r="CJ592" s="45"/>
      <c r="CK592" s="45"/>
      <c r="CL592" s="45"/>
      <c r="CM592" s="45"/>
      <c r="CN592" s="45"/>
      <c r="CO592" s="45"/>
      <c r="CP592" s="45"/>
      <c r="CQ592" s="45"/>
      <c r="CR592" s="45"/>
      <c r="CS592" s="45"/>
      <c r="CT592" s="45"/>
      <c r="CU592" s="45"/>
      <c r="CV592" s="45"/>
      <c r="CW592" s="45"/>
      <c r="CX592" s="45"/>
      <c r="CY592" s="45"/>
      <c r="CZ592" s="45"/>
      <c r="DA592" s="45"/>
      <c r="DB592" s="45"/>
      <c r="DC592" s="45"/>
      <c r="DD592" s="45"/>
      <c r="DE592" s="45"/>
      <c r="DF592" s="45"/>
      <c r="DG592" s="45"/>
      <c r="DH592" s="45"/>
      <c r="DI592" s="45"/>
      <c r="DJ592" s="45"/>
      <c r="DK592" s="45"/>
      <c r="DL592" s="45"/>
      <c r="DM592" s="45"/>
      <c r="DN592" s="45"/>
      <c r="DO592" s="45"/>
      <c r="DP592" s="45"/>
      <c r="DQ592" s="45"/>
      <c r="DR592" s="45"/>
      <c r="DS592" s="45"/>
      <c r="DT592" s="45"/>
      <c r="DU592" s="45"/>
      <c r="DV592" s="45"/>
      <c r="DW592" s="45"/>
      <c r="DX592" s="45"/>
      <c r="DY592" s="45"/>
      <c r="DZ592" s="45"/>
      <c r="EA592" s="45"/>
      <c r="EB592" s="45"/>
      <c r="EC592" s="45"/>
      <c r="ED592" s="45"/>
      <c r="EE592" s="45"/>
      <c r="EF592" s="45"/>
      <c r="EG592" s="45"/>
      <c r="EH592" s="45"/>
      <c r="EI592" s="45"/>
      <c r="EJ592" s="45"/>
      <c r="EK592" s="45"/>
      <c r="EL592" s="45"/>
      <c r="EM592" s="45"/>
      <c r="EN592" s="45"/>
      <c r="EO592" s="45"/>
      <c r="EP592" s="45"/>
      <c r="EQ592" s="45"/>
      <c r="ER592" s="45"/>
      <c r="ES592" s="45"/>
      <c r="ET592" s="45"/>
      <c r="EU592" s="45"/>
      <c r="EV592" s="45"/>
      <c r="EW592" s="45"/>
      <c r="EX592" s="45"/>
      <c r="EY592" s="45"/>
      <c r="EZ592" s="45"/>
      <c r="FA592" s="45"/>
      <c r="FB592" s="45"/>
      <c r="FC592" s="45"/>
      <c r="FD592" s="45"/>
      <c r="FE592" s="45"/>
      <c r="FF592" s="45"/>
      <c r="FG592" s="45"/>
      <c r="FH592" s="45"/>
      <c r="FI592" s="45"/>
      <c r="FJ592" s="45"/>
      <c r="FK592" s="45"/>
      <c r="FL592" s="45"/>
      <c r="FM592" s="45"/>
      <c r="FN592" s="45"/>
      <c r="FO592" s="45"/>
      <c r="FP592" s="45"/>
      <c r="FQ592" s="45"/>
      <c r="FR592" s="45"/>
      <c r="FS592" s="45"/>
      <c r="FT592" s="45"/>
      <c r="FU592" s="45"/>
      <c r="FV592" s="45"/>
      <c r="FW592" s="45"/>
      <c r="FX592" s="45"/>
      <c r="FY592" s="45"/>
      <c r="FZ592" s="45"/>
      <c r="GA592" s="45"/>
      <c r="GB592" s="45"/>
      <c r="GC592" s="45"/>
      <c r="GD592" s="45"/>
      <c r="GE592" s="45"/>
      <c r="GF592" s="45"/>
      <c r="GG592" s="45"/>
      <c r="GH592" s="45"/>
      <c r="GI592" s="45"/>
      <c r="GJ592" s="45"/>
      <c r="GK592" s="45"/>
      <c r="GL592" s="45"/>
      <c r="GM592" s="45"/>
      <c r="GN592" s="45"/>
      <c r="GO592" s="45"/>
      <c r="GP592" s="45"/>
      <c r="GQ592" s="45"/>
      <c r="GR592" s="45"/>
      <c r="GS592" s="45"/>
      <c r="GT592" s="45"/>
      <c r="GU592" s="45"/>
      <c r="GV592" s="45"/>
      <c r="GW592" s="45"/>
      <c r="GX592" s="45"/>
      <c r="GY592" s="45"/>
      <c r="GZ592" s="45"/>
      <c r="HA592" s="45"/>
      <c r="HB592" s="45"/>
      <c r="HC592" s="45"/>
      <c r="HD592" s="45"/>
      <c r="HE592" s="45"/>
      <c r="HF592" s="45"/>
      <c r="HG592" s="45"/>
      <c r="HH592" s="45"/>
      <c r="HI592" s="45"/>
      <c r="HJ592" s="45"/>
      <c r="HK592" s="45"/>
      <c r="HL592" s="45"/>
      <c r="HM592" s="45"/>
      <c r="HN592" s="45"/>
      <c r="HO592" s="45"/>
      <c r="HP592" s="45"/>
      <c r="HQ592" s="45"/>
      <c r="HR592" s="45"/>
      <c r="HS592" s="45"/>
      <c r="HT592" s="45"/>
      <c r="HU592" s="45"/>
      <c r="HV592" s="45"/>
      <c r="HW592" s="45"/>
      <c r="HX592" s="45"/>
      <c r="HY592" s="45"/>
    </row>
  </sheetData>
  <pageMargins left="0.7" right="0.7" top="0.75" bottom="0.75" header="0.3" footer="0.3"/>
  <pageSetup orientation="landscape" r:id="rId1"/>
  <headerFooter>
    <oddFooter>&amp;C&amp;"Helvetica Neue,Regular"&amp;12&amp;K000000&amp;P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I64"/>
  <sheetViews>
    <sheetView showGridLines="0" zoomScale="55" zoomScaleNormal="55" workbookViewId="0">
      <selection activeCell="A2" sqref="A2"/>
    </sheetView>
  </sheetViews>
  <sheetFormatPr defaultColWidth="8.81640625" defaultRowHeight="15" customHeight="1"/>
  <cols>
    <col min="1" max="1" width="30.26953125" style="33" customWidth="1"/>
    <col min="2" max="2" width="20.453125" style="39" customWidth="1"/>
    <col min="3" max="3" width="28.7265625" style="39" customWidth="1"/>
    <col min="4" max="4" width="23.453125" style="39" customWidth="1"/>
    <col min="5" max="5" width="19.81640625" style="39" customWidth="1"/>
    <col min="6" max="6" width="16.7265625" style="39" customWidth="1"/>
    <col min="7" max="7" width="15.453125" style="39" customWidth="1"/>
    <col min="8" max="8" width="57.1796875" style="39" customWidth="1"/>
    <col min="9" max="9" width="20" style="39" customWidth="1"/>
    <col min="10" max="10" width="11.81640625" style="39" customWidth="1"/>
    <col min="11" max="11" width="10.81640625" style="39" customWidth="1"/>
    <col min="12" max="12" width="5.1796875" style="39" customWidth="1"/>
    <col min="13" max="13" width="7.1796875" style="39" customWidth="1"/>
    <col min="14" max="14" width="22.453125" style="39" customWidth="1"/>
    <col min="15" max="15" width="19.453125" style="39" customWidth="1"/>
    <col min="16" max="16" width="6.453125" style="39" customWidth="1"/>
    <col min="17" max="17" width="8.453125" style="39" customWidth="1"/>
    <col min="18" max="18" width="22.81640625" style="39" customWidth="1"/>
    <col min="19" max="19" width="21" style="39" customWidth="1"/>
    <col min="20" max="20" width="25.453125" style="39" customWidth="1"/>
    <col min="21" max="21" width="20.453125" style="39" customWidth="1"/>
    <col min="22" max="243" width="8.81640625" style="33" customWidth="1"/>
    <col min="244" max="16384" width="8.81640625" style="34"/>
  </cols>
  <sheetData>
    <row r="1" spans="1:21" ht="15" customHeight="1">
      <c r="A1" s="56" t="s">
        <v>0</v>
      </c>
      <c r="B1" s="36" t="s">
        <v>1</v>
      </c>
      <c r="C1" s="36" t="s">
        <v>606</v>
      </c>
      <c r="D1" s="36" t="s">
        <v>2</v>
      </c>
      <c r="E1" s="36" t="s">
        <v>3</v>
      </c>
      <c r="F1" s="36" t="s">
        <v>4</v>
      </c>
      <c r="G1" s="36" t="s">
        <v>5</v>
      </c>
      <c r="H1" s="36" t="s">
        <v>6</v>
      </c>
      <c r="I1" s="36" t="s">
        <v>7</v>
      </c>
      <c r="J1" s="36" t="s">
        <v>632</v>
      </c>
      <c r="K1" s="36" t="s">
        <v>650</v>
      </c>
      <c r="L1" s="36" t="s">
        <v>660</v>
      </c>
      <c r="M1" s="36" t="s">
        <v>659</v>
      </c>
      <c r="N1" s="37" t="s">
        <v>338</v>
      </c>
      <c r="O1" s="37" t="s">
        <v>649</v>
      </c>
      <c r="P1" s="36" t="s">
        <v>658</v>
      </c>
      <c r="Q1" s="36" t="s">
        <v>657</v>
      </c>
      <c r="R1" s="37" t="s">
        <v>339</v>
      </c>
      <c r="S1" s="37" t="s">
        <v>648</v>
      </c>
      <c r="T1" s="37" t="s">
        <v>340</v>
      </c>
      <c r="U1" s="57" t="s">
        <v>625</v>
      </c>
    </row>
    <row r="2" spans="1:21" ht="15" customHeight="1">
      <c r="A2" s="58" t="s">
        <v>438</v>
      </c>
      <c r="B2" s="23">
        <v>2015</v>
      </c>
      <c r="C2" s="24" t="s">
        <v>206</v>
      </c>
      <c r="D2" s="22" t="s">
        <v>411</v>
      </c>
      <c r="E2" s="22" t="s">
        <v>9</v>
      </c>
      <c r="F2" s="22" t="s">
        <v>333</v>
      </c>
      <c r="G2" s="22" t="s">
        <v>446</v>
      </c>
      <c r="H2" s="75" t="s">
        <v>630</v>
      </c>
      <c r="I2" s="22" t="s">
        <v>351</v>
      </c>
      <c r="J2" s="22" t="s">
        <v>11</v>
      </c>
      <c r="K2" s="22" t="s">
        <v>582</v>
      </c>
      <c r="L2" s="22" t="s">
        <v>10</v>
      </c>
      <c r="M2" s="22" t="s">
        <v>10</v>
      </c>
      <c r="N2" s="22" t="s">
        <v>10</v>
      </c>
      <c r="O2" s="22" t="s">
        <v>10</v>
      </c>
      <c r="P2" s="49">
        <v>222</v>
      </c>
      <c r="Q2" s="49">
        <v>58</v>
      </c>
      <c r="R2" s="49">
        <v>12.3</v>
      </c>
      <c r="S2" s="22" t="s">
        <v>345</v>
      </c>
      <c r="T2" s="22" t="s">
        <v>583</v>
      </c>
      <c r="U2" s="59">
        <v>33</v>
      </c>
    </row>
    <row r="3" spans="1:21" ht="15" customHeight="1">
      <c r="A3" s="60" t="s">
        <v>584</v>
      </c>
      <c r="B3" s="50">
        <v>2017</v>
      </c>
      <c r="C3" s="51" t="s">
        <v>206</v>
      </c>
      <c r="D3" s="74" t="s">
        <v>451</v>
      </c>
      <c r="E3" s="52" t="s">
        <v>585</v>
      </c>
      <c r="F3" s="52" t="s">
        <v>334</v>
      </c>
      <c r="G3" s="52" t="s">
        <v>446</v>
      </c>
      <c r="H3" s="52" t="s">
        <v>586</v>
      </c>
      <c r="I3" s="52" t="s">
        <v>447</v>
      </c>
      <c r="J3" s="52" t="s">
        <v>16</v>
      </c>
      <c r="K3" s="52" t="s">
        <v>454</v>
      </c>
      <c r="L3" s="52" t="s">
        <v>10</v>
      </c>
      <c r="M3" s="52" t="s">
        <v>10</v>
      </c>
      <c r="N3" s="52" t="s">
        <v>10</v>
      </c>
      <c r="O3" s="52" t="s">
        <v>10</v>
      </c>
      <c r="P3" s="50">
        <v>616</v>
      </c>
      <c r="Q3" s="53"/>
      <c r="R3" s="54">
        <v>4</v>
      </c>
      <c r="S3" s="52" t="s">
        <v>345</v>
      </c>
      <c r="T3" s="52" t="s">
        <v>629</v>
      </c>
      <c r="U3" s="61">
        <v>34</v>
      </c>
    </row>
    <row r="4" spans="1:21" ht="15" customHeight="1">
      <c r="A4" s="60" t="s">
        <v>584</v>
      </c>
      <c r="B4" s="50">
        <v>2017</v>
      </c>
      <c r="C4" s="52" t="s">
        <v>206</v>
      </c>
      <c r="D4" s="74" t="s">
        <v>451</v>
      </c>
      <c r="E4" s="52" t="s">
        <v>585</v>
      </c>
      <c r="F4" s="52" t="s">
        <v>334</v>
      </c>
      <c r="G4" s="52" t="s">
        <v>446</v>
      </c>
      <c r="H4" s="52" t="s">
        <v>586</v>
      </c>
      <c r="I4" s="52" t="s">
        <v>447</v>
      </c>
      <c r="J4" s="52" t="s">
        <v>11</v>
      </c>
      <c r="K4" s="52" t="s">
        <v>454</v>
      </c>
      <c r="L4" s="52" t="s">
        <v>10</v>
      </c>
      <c r="M4" s="52" t="s">
        <v>10</v>
      </c>
      <c r="N4" s="52" t="s">
        <v>10</v>
      </c>
      <c r="O4" s="52" t="s">
        <v>10</v>
      </c>
      <c r="P4" s="50">
        <v>246</v>
      </c>
      <c r="Q4" s="53"/>
      <c r="R4" s="54">
        <v>5.0999999999999996</v>
      </c>
      <c r="S4" s="52" t="s">
        <v>345</v>
      </c>
      <c r="T4" s="52" t="s">
        <v>629</v>
      </c>
      <c r="U4" s="61">
        <v>34</v>
      </c>
    </row>
    <row r="5" spans="1:21" ht="15" customHeight="1">
      <c r="A5" s="60" t="s">
        <v>584</v>
      </c>
      <c r="B5" s="50">
        <v>2017</v>
      </c>
      <c r="C5" s="51" t="s">
        <v>206</v>
      </c>
      <c r="D5" s="74" t="s">
        <v>451</v>
      </c>
      <c r="E5" s="52" t="s">
        <v>585</v>
      </c>
      <c r="F5" s="52" t="s">
        <v>334</v>
      </c>
      <c r="G5" s="52" t="s">
        <v>446</v>
      </c>
      <c r="H5" s="52" t="s">
        <v>586</v>
      </c>
      <c r="I5" s="52" t="s">
        <v>447</v>
      </c>
      <c r="J5" s="52" t="s">
        <v>23</v>
      </c>
      <c r="K5" s="52" t="s">
        <v>454</v>
      </c>
      <c r="L5" s="52" t="s">
        <v>10</v>
      </c>
      <c r="M5" s="52" t="s">
        <v>10</v>
      </c>
      <c r="N5" s="52" t="s">
        <v>10</v>
      </c>
      <c r="O5" s="52" t="s">
        <v>10</v>
      </c>
      <c r="P5" s="50">
        <v>370</v>
      </c>
      <c r="Q5" s="53"/>
      <c r="R5" s="54">
        <v>3.4</v>
      </c>
      <c r="S5" s="52" t="s">
        <v>345</v>
      </c>
      <c r="T5" s="52" t="s">
        <v>629</v>
      </c>
      <c r="U5" s="61">
        <v>34</v>
      </c>
    </row>
    <row r="6" spans="1:21" ht="15" customHeight="1">
      <c r="A6" s="60" t="s">
        <v>584</v>
      </c>
      <c r="B6" s="50">
        <v>2017</v>
      </c>
      <c r="C6" s="52" t="s">
        <v>206</v>
      </c>
      <c r="D6" s="74" t="s">
        <v>451</v>
      </c>
      <c r="E6" s="52" t="s">
        <v>585</v>
      </c>
      <c r="F6" s="52" t="s">
        <v>334</v>
      </c>
      <c r="G6" s="52" t="s">
        <v>446</v>
      </c>
      <c r="H6" s="52" t="s">
        <v>586</v>
      </c>
      <c r="I6" s="52" t="s">
        <v>447</v>
      </c>
      <c r="J6" s="52" t="s">
        <v>16</v>
      </c>
      <c r="K6" s="52" t="s">
        <v>443</v>
      </c>
      <c r="L6" s="52" t="s">
        <v>10</v>
      </c>
      <c r="M6" s="52" t="s">
        <v>10</v>
      </c>
      <c r="N6" s="52" t="s">
        <v>10</v>
      </c>
      <c r="O6" s="52" t="s">
        <v>10</v>
      </c>
      <c r="P6" s="50">
        <v>176</v>
      </c>
      <c r="Q6" s="53"/>
      <c r="R6" s="54">
        <v>3</v>
      </c>
      <c r="S6" s="52" t="s">
        <v>345</v>
      </c>
      <c r="T6" s="52" t="s">
        <v>629</v>
      </c>
      <c r="U6" s="61">
        <v>34</v>
      </c>
    </row>
    <row r="7" spans="1:21" ht="15" customHeight="1">
      <c r="A7" s="60" t="s">
        <v>584</v>
      </c>
      <c r="B7" s="50">
        <v>2017</v>
      </c>
      <c r="C7" s="51" t="s">
        <v>206</v>
      </c>
      <c r="D7" s="74" t="s">
        <v>451</v>
      </c>
      <c r="E7" s="52" t="s">
        <v>585</v>
      </c>
      <c r="F7" s="52" t="s">
        <v>334</v>
      </c>
      <c r="G7" s="52" t="s">
        <v>446</v>
      </c>
      <c r="H7" s="52" t="s">
        <v>586</v>
      </c>
      <c r="I7" s="52" t="s">
        <v>447</v>
      </c>
      <c r="J7" s="52" t="s">
        <v>16</v>
      </c>
      <c r="K7" s="52" t="s">
        <v>454</v>
      </c>
      <c r="L7" s="52" t="s">
        <v>10</v>
      </c>
      <c r="M7" s="52" t="s">
        <v>10</v>
      </c>
      <c r="N7" s="52" t="s">
        <v>10</v>
      </c>
      <c r="O7" s="52" t="s">
        <v>10</v>
      </c>
      <c r="P7" s="50">
        <v>440</v>
      </c>
      <c r="Q7" s="53"/>
      <c r="R7" s="54">
        <v>4.5</v>
      </c>
      <c r="S7" s="52" t="s">
        <v>345</v>
      </c>
      <c r="T7" s="52" t="s">
        <v>629</v>
      </c>
      <c r="U7" s="61">
        <v>34</v>
      </c>
    </row>
    <row r="8" spans="1:21" ht="15" customHeight="1">
      <c r="A8" s="60" t="s">
        <v>587</v>
      </c>
      <c r="B8" s="50">
        <v>2016</v>
      </c>
      <c r="C8" s="52" t="s">
        <v>206</v>
      </c>
      <c r="D8" s="52" t="s">
        <v>411</v>
      </c>
      <c r="E8" s="52" t="s">
        <v>480</v>
      </c>
      <c r="F8" s="52" t="s">
        <v>337</v>
      </c>
      <c r="G8" s="52" t="s">
        <v>481</v>
      </c>
      <c r="H8" s="52" t="s">
        <v>588</v>
      </c>
      <c r="I8" s="52" t="s">
        <v>141</v>
      </c>
      <c r="J8" s="52" t="s">
        <v>11</v>
      </c>
      <c r="K8" s="52" t="s">
        <v>589</v>
      </c>
      <c r="L8" s="52" t="s">
        <v>10</v>
      </c>
      <c r="M8" s="52" t="s">
        <v>10</v>
      </c>
      <c r="N8" s="52" t="s">
        <v>10</v>
      </c>
      <c r="O8" s="52" t="s">
        <v>10</v>
      </c>
      <c r="P8" s="52" t="s">
        <v>590</v>
      </c>
      <c r="Q8" s="53"/>
      <c r="R8" s="54">
        <v>22.3</v>
      </c>
      <c r="S8" s="52" t="s">
        <v>345</v>
      </c>
      <c r="T8" s="52" t="s">
        <v>629</v>
      </c>
      <c r="U8" s="61">
        <v>40</v>
      </c>
    </row>
    <row r="9" spans="1:21" ht="15" customHeight="1">
      <c r="A9" s="60" t="s">
        <v>591</v>
      </c>
      <c r="B9" s="50">
        <v>2014</v>
      </c>
      <c r="C9" s="52" t="s">
        <v>206</v>
      </c>
      <c r="D9" s="52" t="s">
        <v>509</v>
      </c>
      <c r="E9" s="52" t="s">
        <v>510</v>
      </c>
      <c r="F9" s="52" t="s">
        <v>9</v>
      </c>
      <c r="G9" s="52" t="s">
        <v>128</v>
      </c>
      <c r="H9" s="52" t="s">
        <v>312</v>
      </c>
      <c r="I9" s="74" t="s">
        <v>640</v>
      </c>
      <c r="J9" s="52" t="s">
        <v>11</v>
      </c>
      <c r="K9" s="52" t="s">
        <v>470</v>
      </c>
      <c r="L9" s="52" t="s">
        <v>10</v>
      </c>
      <c r="M9" s="52" t="s">
        <v>10</v>
      </c>
      <c r="N9" s="52" t="s">
        <v>10</v>
      </c>
      <c r="O9" s="52" t="s">
        <v>10</v>
      </c>
      <c r="P9" s="55">
        <v>302</v>
      </c>
      <c r="Q9" s="50">
        <v>17</v>
      </c>
      <c r="R9" s="54">
        <f>Q9*100/P9</f>
        <v>5.629139072847682</v>
      </c>
      <c r="S9" s="52" t="s">
        <v>344</v>
      </c>
      <c r="T9" s="52" t="s">
        <v>592</v>
      </c>
      <c r="U9" s="61">
        <v>47</v>
      </c>
    </row>
    <row r="10" spans="1:21" ht="15" customHeight="1">
      <c r="A10" s="60" t="s">
        <v>527</v>
      </c>
      <c r="B10" s="50">
        <v>2016</v>
      </c>
      <c r="C10" s="51" t="s">
        <v>206</v>
      </c>
      <c r="D10" s="52" t="s">
        <v>522</v>
      </c>
      <c r="E10" s="52" t="s">
        <v>528</v>
      </c>
      <c r="F10" s="52" t="s">
        <v>9</v>
      </c>
      <c r="G10" s="52" t="s">
        <v>198</v>
      </c>
      <c r="H10" s="52" t="s">
        <v>594</v>
      </c>
      <c r="I10" s="52" t="s">
        <v>89</v>
      </c>
      <c r="J10" s="52" t="s">
        <v>11</v>
      </c>
      <c r="K10" s="52" t="s">
        <v>595</v>
      </c>
      <c r="L10" s="52" t="s">
        <v>10</v>
      </c>
      <c r="M10" s="52" t="s">
        <v>10</v>
      </c>
      <c r="N10" s="52" t="s">
        <v>10</v>
      </c>
      <c r="O10" s="52" t="s">
        <v>10</v>
      </c>
      <c r="P10" s="50">
        <v>191</v>
      </c>
      <c r="Q10" s="50">
        <v>15</v>
      </c>
      <c r="R10" s="54">
        <v>7.9</v>
      </c>
      <c r="S10" s="52" t="s">
        <v>344</v>
      </c>
      <c r="T10" s="52" t="s">
        <v>596</v>
      </c>
      <c r="U10" s="61">
        <v>50</v>
      </c>
    </row>
    <row r="11" spans="1:21" ht="15" customHeight="1">
      <c r="A11" s="60" t="s">
        <v>597</v>
      </c>
      <c r="B11" s="50">
        <v>2016</v>
      </c>
      <c r="C11" s="52" t="s">
        <v>206</v>
      </c>
      <c r="D11" s="52" t="s">
        <v>411</v>
      </c>
      <c r="E11" s="52" t="s">
        <v>559</v>
      </c>
      <c r="F11" s="52" t="s">
        <v>487</v>
      </c>
      <c r="G11" s="52" t="s">
        <v>88</v>
      </c>
      <c r="H11" s="52" t="s">
        <v>598</v>
      </c>
      <c r="I11" s="52" t="s">
        <v>447</v>
      </c>
      <c r="J11" s="52" t="s">
        <v>11</v>
      </c>
      <c r="K11" s="52" t="s">
        <v>599</v>
      </c>
      <c r="L11" s="52" t="s">
        <v>10</v>
      </c>
      <c r="M11" s="52" t="s">
        <v>10</v>
      </c>
      <c r="N11" s="52" t="s">
        <v>10</v>
      </c>
      <c r="O11" s="52" t="s">
        <v>10</v>
      </c>
      <c r="P11" s="50">
        <v>1114</v>
      </c>
      <c r="Q11" s="50">
        <v>107</v>
      </c>
      <c r="R11" s="54">
        <v>4</v>
      </c>
      <c r="S11" s="52" t="s">
        <v>344</v>
      </c>
      <c r="T11" s="52" t="s">
        <v>600</v>
      </c>
      <c r="U11" s="61">
        <v>56</v>
      </c>
    </row>
    <row r="12" spans="1:21" ht="15" customHeight="1">
      <c r="A12" s="60" t="s">
        <v>471</v>
      </c>
      <c r="B12" s="50">
        <v>2014</v>
      </c>
      <c r="C12" s="52" t="s">
        <v>206</v>
      </c>
      <c r="D12" s="52" t="s">
        <v>601</v>
      </c>
      <c r="E12" s="52" t="s">
        <v>472</v>
      </c>
      <c r="F12" s="52" t="s">
        <v>336</v>
      </c>
      <c r="G12" s="52" t="s">
        <v>316</v>
      </c>
      <c r="H12" s="52" t="s">
        <v>602</v>
      </c>
      <c r="I12" s="52" t="s">
        <v>473</v>
      </c>
      <c r="J12" s="52" t="s">
        <v>16</v>
      </c>
      <c r="K12" s="52" t="s">
        <v>474</v>
      </c>
      <c r="L12" s="52" t="s">
        <v>10</v>
      </c>
      <c r="M12" s="52" t="s">
        <v>10</v>
      </c>
      <c r="N12" s="52" t="s">
        <v>10</v>
      </c>
      <c r="O12" s="52" t="s">
        <v>10</v>
      </c>
      <c r="P12" s="50">
        <v>473</v>
      </c>
      <c r="Q12" s="50">
        <v>52</v>
      </c>
      <c r="R12" s="54">
        <v>7.7</v>
      </c>
      <c r="S12" s="52" t="s">
        <v>345</v>
      </c>
      <c r="T12" s="52" t="s">
        <v>603</v>
      </c>
      <c r="U12" s="61">
        <v>39</v>
      </c>
    </row>
    <row r="13" spans="1:21" ht="15" customHeight="1">
      <c r="A13" s="60" t="s">
        <v>207</v>
      </c>
      <c r="B13" s="50">
        <v>2015</v>
      </c>
      <c r="C13" s="51" t="s">
        <v>13</v>
      </c>
      <c r="D13" s="52" t="s">
        <v>14</v>
      </c>
      <c r="E13" s="52" t="s">
        <v>67</v>
      </c>
      <c r="F13" s="52" t="s">
        <v>9</v>
      </c>
      <c r="G13" s="52" t="s">
        <v>341</v>
      </c>
      <c r="H13" s="52" t="s">
        <v>342</v>
      </c>
      <c r="I13" s="52" t="s">
        <v>343</v>
      </c>
      <c r="J13" s="52" t="s">
        <v>16</v>
      </c>
      <c r="K13" s="52" t="s">
        <v>210</v>
      </c>
      <c r="L13" s="55">
        <f>133+122</f>
        <v>255</v>
      </c>
      <c r="M13" s="50">
        <f>18+27</f>
        <v>45</v>
      </c>
      <c r="N13" s="54">
        <f t="shared" ref="N13:N27" si="0">M13*100/L13</f>
        <v>17.647058823529413</v>
      </c>
      <c r="O13" s="52" t="s">
        <v>344</v>
      </c>
      <c r="P13" s="55">
        <f>197+192</f>
        <v>389</v>
      </c>
      <c r="Q13" s="50">
        <f>25+9</f>
        <v>34</v>
      </c>
      <c r="R13" s="54">
        <f t="shared" ref="R13:R27" si="1">Q13*100/P13</f>
        <v>8.7403598971722367</v>
      </c>
      <c r="S13" s="52" t="s">
        <v>344</v>
      </c>
      <c r="T13" s="52" t="s">
        <v>627</v>
      </c>
      <c r="U13" s="62">
        <v>94</v>
      </c>
    </row>
    <row r="14" spans="1:21" ht="15" customHeight="1">
      <c r="A14" s="60" t="s">
        <v>207</v>
      </c>
      <c r="B14" s="50">
        <v>2015</v>
      </c>
      <c r="C14" s="51" t="s">
        <v>13</v>
      </c>
      <c r="D14" s="52" t="s">
        <v>14</v>
      </c>
      <c r="E14" s="52" t="s">
        <v>67</v>
      </c>
      <c r="F14" s="52" t="s">
        <v>9</v>
      </c>
      <c r="G14" s="52" t="s">
        <v>341</v>
      </c>
      <c r="H14" s="52" t="s">
        <v>342</v>
      </c>
      <c r="I14" s="52" t="s">
        <v>343</v>
      </c>
      <c r="J14" s="52" t="s">
        <v>16</v>
      </c>
      <c r="K14" s="52" t="s">
        <v>211</v>
      </c>
      <c r="L14" s="55">
        <f>74+65</f>
        <v>139</v>
      </c>
      <c r="M14" s="50">
        <f>11+18</f>
        <v>29</v>
      </c>
      <c r="N14" s="54">
        <f t="shared" si="0"/>
        <v>20.863309352517987</v>
      </c>
      <c r="O14" s="52" t="s">
        <v>344</v>
      </c>
      <c r="P14" s="55">
        <v>201</v>
      </c>
      <c r="Q14" s="50">
        <f>8+14</f>
        <v>22</v>
      </c>
      <c r="R14" s="54">
        <f t="shared" si="1"/>
        <v>10.945273631840797</v>
      </c>
      <c r="S14" s="52" t="s">
        <v>344</v>
      </c>
      <c r="T14" s="52" t="s">
        <v>627</v>
      </c>
      <c r="U14" s="62">
        <v>94</v>
      </c>
    </row>
    <row r="15" spans="1:21" ht="15" customHeight="1">
      <c r="A15" s="60" t="s">
        <v>207</v>
      </c>
      <c r="B15" s="50">
        <v>2015</v>
      </c>
      <c r="C15" s="51" t="s">
        <v>13</v>
      </c>
      <c r="D15" s="52" t="s">
        <v>14</v>
      </c>
      <c r="E15" s="52" t="s">
        <v>67</v>
      </c>
      <c r="F15" s="52" t="s">
        <v>9</v>
      </c>
      <c r="G15" s="52" t="s">
        <v>341</v>
      </c>
      <c r="H15" s="52" t="s">
        <v>342</v>
      </c>
      <c r="I15" s="52" t="s">
        <v>343</v>
      </c>
      <c r="J15" s="52" t="s">
        <v>16</v>
      </c>
      <c r="K15" s="52" t="s">
        <v>212</v>
      </c>
      <c r="L15" s="55">
        <f>50</f>
        <v>50</v>
      </c>
      <c r="M15" s="50">
        <f>5+3</f>
        <v>8</v>
      </c>
      <c r="N15" s="54">
        <f t="shared" si="0"/>
        <v>16</v>
      </c>
      <c r="O15" s="52" t="s">
        <v>344</v>
      </c>
      <c r="P15" s="55">
        <v>83</v>
      </c>
      <c r="Q15" s="50">
        <f>8</f>
        <v>8</v>
      </c>
      <c r="R15" s="54">
        <f t="shared" si="1"/>
        <v>9.6385542168674707</v>
      </c>
      <c r="S15" s="52" t="s">
        <v>344</v>
      </c>
      <c r="T15" s="52" t="s">
        <v>627</v>
      </c>
      <c r="U15" s="62">
        <v>94</v>
      </c>
    </row>
    <row r="16" spans="1:21" ht="15" customHeight="1">
      <c r="A16" s="60" t="s">
        <v>207</v>
      </c>
      <c r="B16" s="50">
        <v>2015</v>
      </c>
      <c r="C16" s="51" t="s">
        <v>13</v>
      </c>
      <c r="D16" s="52" t="s">
        <v>14</v>
      </c>
      <c r="E16" s="52" t="s">
        <v>67</v>
      </c>
      <c r="F16" s="52" t="s">
        <v>9</v>
      </c>
      <c r="G16" s="52" t="s">
        <v>341</v>
      </c>
      <c r="H16" s="52" t="s">
        <v>342</v>
      </c>
      <c r="I16" s="52" t="s">
        <v>343</v>
      </c>
      <c r="J16" s="52" t="s">
        <v>16</v>
      </c>
      <c r="K16" s="52" t="s">
        <v>213</v>
      </c>
      <c r="L16" s="55">
        <v>49</v>
      </c>
      <c r="M16" s="50">
        <v>7</v>
      </c>
      <c r="N16" s="54">
        <f t="shared" si="0"/>
        <v>14.285714285714286</v>
      </c>
      <c r="O16" s="52" t="s">
        <v>344</v>
      </c>
      <c r="P16" s="55">
        <v>72</v>
      </c>
      <c r="Q16" s="50">
        <v>1</v>
      </c>
      <c r="R16" s="54">
        <f t="shared" si="1"/>
        <v>1.3888888888888888</v>
      </c>
      <c r="S16" s="52" t="s">
        <v>344</v>
      </c>
      <c r="T16" s="52" t="s">
        <v>627</v>
      </c>
      <c r="U16" s="62">
        <v>94</v>
      </c>
    </row>
    <row r="17" spans="1:21" ht="15" customHeight="1">
      <c r="A17" s="60" t="s">
        <v>207</v>
      </c>
      <c r="B17" s="50">
        <v>2015</v>
      </c>
      <c r="C17" s="51" t="s">
        <v>13</v>
      </c>
      <c r="D17" s="52" t="s">
        <v>14</v>
      </c>
      <c r="E17" s="52" t="s">
        <v>67</v>
      </c>
      <c r="F17" s="52" t="s">
        <v>9</v>
      </c>
      <c r="G17" s="52" t="s">
        <v>341</v>
      </c>
      <c r="H17" s="52" t="s">
        <v>342</v>
      </c>
      <c r="I17" s="52" t="s">
        <v>343</v>
      </c>
      <c r="J17" s="52" t="s">
        <v>16</v>
      </c>
      <c r="K17" s="52" t="s">
        <v>214</v>
      </c>
      <c r="L17" s="55">
        <v>17</v>
      </c>
      <c r="M17" s="50">
        <v>1</v>
      </c>
      <c r="N17" s="54">
        <f t="shared" si="0"/>
        <v>5.882352941176471</v>
      </c>
      <c r="O17" s="52" t="s">
        <v>344</v>
      </c>
      <c r="P17" s="55">
        <v>33</v>
      </c>
      <c r="Q17" s="50">
        <v>3</v>
      </c>
      <c r="R17" s="54">
        <f t="shared" si="1"/>
        <v>9.0909090909090917</v>
      </c>
      <c r="S17" s="52" t="s">
        <v>344</v>
      </c>
      <c r="T17" s="52" t="s">
        <v>627</v>
      </c>
      <c r="U17" s="62">
        <v>94</v>
      </c>
    </row>
    <row r="18" spans="1:21" ht="15" customHeight="1">
      <c r="A18" s="60" t="s">
        <v>207</v>
      </c>
      <c r="B18" s="50">
        <v>2015</v>
      </c>
      <c r="C18" s="51" t="s">
        <v>13</v>
      </c>
      <c r="D18" s="52" t="s">
        <v>14</v>
      </c>
      <c r="E18" s="52" t="s">
        <v>67</v>
      </c>
      <c r="F18" s="52" t="s">
        <v>9</v>
      </c>
      <c r="G18" s="52" t="s">
        <v>341</v>
      </c>
      <c r="H18" s="52" t="s">
        <v>342</v>
      </c>
      <c r="I18" s="52" t="s">
        <v>343</v>
      </c>
      <c r="J18" s="52" t="s">
        <v>23</v>
      </c>
      <c r="K18" s="52" t="s">
        <v>210</v>
      </c>
      <c r="L18" s="55">
        <v>133</v>
      </c>
      <c r="M18" s="50">
        <v>18</v>
      </c>
      <c r="N18" s="54">
        <f t="shared" si="0"/>
        <v>13.533834586466165</v>
      </c>
      <c r="O18" s="52" t="s">
        <v>344</v>
      </c>
      <c r="P18" s="55">
        <v>197</v>
      </c>
      <c r="Q18" s="50">
        <v>9</v>
      </c>
      <c r="R18" s="54">
        <f t="shared" si="1"/>
        <v>4.5685279187817258</v>
      </c>
      <c r="S18" s="52" t="s">
        <v>344</v>
      </c>
      <c r="T18" s="52" t="s">
        <v>627</v>
      </c>
      <c r="U18" s="62">
        <v>94</v>
      </c>
    </row>
    <row r="19" spans="1:21" ht="15" customHeight="1">
      <c r="A19" s="60" t="s">
        <v>207</v>
      </c>
      <c r="B19" s="50">
        <v>2015</v>
      </c>
      <c r="C19" s="51" t="s">
        <v>13</v>
      </c>
      <c r="D19" s="52" t="s">
        <v>14</v>
      </c>
      <c r="E19" s="52" t="s">
        <v>67</v>
      </c>
      <c r="F19" s="52" t="s">
        <v>9</v>
      </c>
      <c r="G19" s="52" t="s">
        <v>341</v>
      </c>
      <c r="H19" s="52" t="s">
        <v>342</v>
      </c>
      <c r="I19" s="52" t="s">
        <v>343</v>
      </c>
      <c r="J19" s="52" t="s">
        <v>23</v>
      </c>
      <c r="K19" s="52" t="s">
        <v>211</v>
      </c>
      <c r="L19" s="55">
        <v>74</v>
      </c>
      <c r="M19" s="50">
        <v>11</v>
      </c>
      <c r="N19" s="54">
        <f t="shared" si="0"/>
        <v>14.864864864864865</v>
      </c>
      <c r="O19" s="52" t="s">
        <v>344</v>
      </c>
      <c r="P19" s="55">
        <v>100</v>
      </c>
      <c r="Q19" s="50">
        <v>8</v>
      </c>
      <c r="R19" s="54">
        <f t="shared" si="1"/>
        <v>8</v>
      </c>
      <c r="S19" s="52" t="s">
        <v>344</v>
      </c>
      <c r="T19" s="52" t="s">
        <v>627</v>
      </c>
      <c r="U19" s="62">
        <v>94</v>
      </c>
    </row>
    <row r="20" spans="1:21" ht="15" customHeight="1">
      <c r="A20" s="60" t="s">
        <v>207</v>
      </c>
      <c r="B20" s="50">
        <v>2015</v>
      </c>
      <c r="C20" s="51" t="s">
        <v>13</v>
      </c>
      <c r="D20" s="52" t="s">
        <v>14</v>
      </c>
      <c r="E20" s="52" t="s">
        <v>67</v>
      </c>
      <c r="F20" s="52" t="s">
        <v>9</v>
      </c>
      <c r="G20" s="52" t="s">
        <v>341</v>
      </c>
      <c r="H20" s="52" t="s">
        <v>342</v>
      </c>
      <c r="I20" s="52" t="s">
        <v>343</v>
      </c>
      <c r="J20" s="52" t="s">
        <v>23</v>
      </c>
      <c r="K20" s="52" t="s">
        <v>212</v>
      </c>
      <c r="L20" s="55">
        <v>25</v>
      </c>
      <c r="M20" s="50">
        <v>5</v>
      </c>
      <c r="N20" s="54">
        <f t="shared" si="0"/>
        <v>20</v>
      </c>
      <c r="O20" s="52" t="s">
        <v>344</v>
      </c>
      <c r="P20" s="55">
        <v>41</v>
      </c>
      <c r="Q20" s="50">
        <v>1</v>
      </c>
      <c r="R20" s="54">
        <f t="shared" si="1"/>
        <v>2.4390243902439024</v>
      </c>
      <c r="S20" s="52" t="s">
        <v>344</v>
      </c>
      <c r="T20" s="52" t="s">
        <v>627</v>
      </c>
      <c r="U20" s="62">
        <v>94</v>
      </c>
    </row>
    <row r="21" spans="1:21" ht="15" customHeight="1">
      <c r="A21" s="60" t="s">
        <v>207</v>
      </c>
      <c r="B21" s="50">
        <v>2015</v>
      </c>
      <c r="C21" s="51" t="s">
        <v>13</v>
      </c>
      <c r="D21" s="52" t="s">
        <v>14</v>
      </c>
      <c r="E21" s="52" t="s">
        <v>67</v>
      </c>
      <c r="F21" s="52" t="s">
        <v>9</v>
      </c>
      <c r="G21" s="52" t="s">
        <v>341</v>
      </c>
      <c r="H21" s="52" t="s">
        <v>342</v>
      </c>
      <c r="I21" s="52" t="s">
        <v>343</v>
      </c>
      <c r="J21" s="52" t="s">
        <v>23</v>
      </c>
      <c r="K21" s="52" t="s">
        <v>213</v>
      </c>
      <c r="L21" s="55">
        <v>25</v>
      </c>
      <c r="M21" s="50">
        <v>2</v>
      </c>
      <c r="N21" s="54">
        <f t="shared" si="0"/>
        <v>8</v>
      </c>
      <c r="O21" s="52" t="s">
        <v>344</v>
      </c>
      <c r="P21" s="55">
        <v>37</v>
      </c>
      <c r="Q21" s="50">
        <v>0</v>
      </c>
      <c r="R21" s="54">
        <f t="shared" si="1"/>
        <v>0</v>
      </c>
      <c r="S21" s="52" t="s">
        <v>344</v>
      </c>
      <c r="T21" s="52" t="s">
        <v>627</v>
      </c>
      <c r="U21" s="62">
        <v>94</v>
      </c>
    </row>
    <row r="22" spans="1:21" ht="15" customHeight="1">
      <c r="A22" s="60" t="s">
        <v>207</v>
      </c>
      <c r="B22" s="50">
        <v>2015</v>
      </c>
      <c r="C22" s="51" t="s">
        <v>13</v>
      </c>
      <c r="D22" s="52" t="s">
        <v>14</v>
      </c>
      <c r="E22" s="52" t="s">
        <v>67</v>
      </c>
      <c r="F22" s="52" t="s">
        <v>9</v>
      </c>
      <c r="G22" s="52" t="s">
        <v>341</v>
      </c>
      <c r="H22" s="52" t="s">
        <v>342</v>
      </c>
      <c r="I22" s="52" t="s">
        <v>343</v>
      </c>
      <c r="J22" s="52" t="s">
        <v>23</v>
      </c>
      <c r="K22" s="52" t="s">
        <v>214</v>
      </c>
      <c r="L22" s="55">
        <v>9</v>
      </c>
      <c r="M22" s="50">
        <v>0</v>
      </c>
      <c r="N22" s="54">
        <f t="shared" si="0"/>
        <v>0</v>
      </c>
      <c r="O22" s="52" t="s">
        <v>344</v>
      </c>
      <c r="P22" s="55">
        <v>19</v>
      </c>
      <c r="Q22" s="50">
        <v>0</v>
      </c>
      <c r="R22" s="54">
        <f t="shared" si="1"/>
        <v>0</v>
      </c>
      <c r="S22" s="52" t="s">
        <v>344</v>
      </c>
      <c r="T22" s="52" t="s">
        <v>627</v>
      </c>
      <c r="U22" s="62">
        <v>94</v>
      </c>
    </row>
    <row r="23" spans="1:21" ht="15" customHeight="1">
      <c r="A23" s="60" t="s">
        <v>207</v>
      </c>
      <c r="B23" s="50">
        <v>2015</v>
      </c>
      <c r="C23" s="51" t="s">
        <v>13</v>
      </c>
      <c r="D23" s="52" t="s">
        <v>14</v>
      </c>
      <c r="E23" s="52" t="s">
        <v>67</v>
      </c>
      <c r="F23" s="52" t="s">
        <v>9</v>
      </c>
      <c r="G23" s="52" t="s">
        <v>341</v>
      </c>
      <c r="H23" s="52" t="s">
        <v>342</v>
      </c>
      <c r="I23" s="52" t="s">
        <v>343</v>
      </c>
      <c r="J23" s="52" t="s">
        <v>11</v>
      </c>
      <c r="K23" s="52" t="s">
        <v>210</v>
      </c>
      <c r="L23" s="55">
        <v>122</v>
      </c>
      <c r="M23" s="50">
        <v>27</v>
      </c>
      <c r="N23" s="54">
        <f t="shared" si="0"/>
        <v>22.131147540983605</v>
      </c>
      <c r="O23" s="52" t="s">
        <v>344</v>
      </c>
      <c r="P23" s="55">
        <v>192</v>
      </c>
      <c r="Q23" s="50">
        <v>25</v>
      </c>
      <c r="R23" s="54">
        <f t="shared" si="1"/>
        <v>13.020833333333334</v>
      </c>
      <c r="S23" s="52" t="s">
        <v>344</v>
      </c>
      <c r="T23" s="52" t="s">
        <v>627</v>
      </c>
      <c r="U23" s="62">
        <v>94</v>
      </c>
    </row>
    <row r="24" spans="1:21" ht="15" customHeight="1">
      <c r="A24" s="60" t="s">
        <v>207</v>
      </c>
      <c r="B24" s="50">
        <v>2015</v>
      </c>
      <c r="C24" s="51" t="s">
        <v>13</v>
      </c>
      <c r="D24" s="52" t="s">
        <v>14</v>
      </c>
      <c r="E24" s="52" t="s">
        <v>67</v>
      </c>
      <c r="F24" s="52" t="s">
        <v>9</v>
      </c>
      <c r="G24" s="52" t="s">
        <v>341</v>
      </c>
      <c r="H24" s="52" t="s">
        <v>342</v>
      </c>
      <c r="I24" s="52" t="s">
        <v>343</v>
      </c>
      <c r="J24" s="52" t="s">
        <v>11</v>
      </c>
      <c r="K24" s="52" t="s">
        <v>211</v>
      </c>
      <c r="L24" s="55">
        <v>65</v>
      </c>
      <c r="M24" s="50">
        <v>18</v>
      </c>
      <c r="N24" s="54">
        <f t="shared" si="0"/>
        <v>27.692307692307693</v>
      </c>
      <c r="O24" s="52" t="s">
        <v>344</v>
      </c>
      <c r="P24" s="55">
        <v>101</v>
      </c>
      <c r="Q24" s="50">
        <v>14</v>
      </c>
      <c r="R24" s="54">
        <f t="shared" si="1"/>
        <v>13.861386138613861</v>
      </c>
      <c r="S24" s="52" t="s">
        <v>344</v>
      </c>
      <c r="T24" s="52" t="s">
        <v>627</v>
      </c>
      <c r="U24" s="62">
        <v>94</v>
      </c>
    </row>
    <row r="25" spans="1:21" ht="15" customHeight="1">
      <c r="A25" s="60" t="s">
        <v>207</v>
      </c>
      <c r="B25" s="50">
        <v>2015</v>
      </c>
      <c r="C25" s="51" t="s">
        <v>13</v>
      </c>
      <c r="D25" s="52" t="s">
        <v>14</v>
      </c>
      <c r="E25" s="52" t="s">
        <v>67</v>
      </c>
      <c r="F25" s="52" t="s">
        <v>9</v>
      </c>
      <c r="G25" s="52" t="s">
        <v>341</v>
      </c>
      <c r="H25" s="52" t="s">
        <v>342</v>
      </c>
      <c r="I25" s="52" t="s">
        <v>343</v>
      </c>
      <c r="J25" s="52" t="s">
        <v>11</v>
      </c>
      <c r="K25" s="52" t="s">
        <v>212</v>
      </c>
      <c r="L25" s="55">
        <v>25</v>
      </c>
      <c r="M25" s="50">
        <v>3</v>
      </c>
      <c r="N25" s="54">
        <f t="shared" si="0"/>
        <v>12</v>
      </c>
      <c r="O25" s="52" t="s">
        <v>344</v>
      </c>
      <c r="P25" s="55">
        <v>42</v>
      </c>
      <c r="Q25" s="50">
        <v>7</v>
      </c>
      <c r="R25" s="54">
        <f t="shared" si="1"/>
        <v>16.666666666666668</v>
      </c>
      <c r="S25" s="52" t="s">
        <v>344</v>
      </c>
      <c r="T25" s="52" t="s">
        <v>627</v>
      </c>
      <c r="U25" s="62">
        <v>94</v>
      </c>
    </row>
    <row r="26" spans="1:21" ht="15" customHeight="1">
      <c r="A26" s="60" t="s">
        <v>207</v>
      </c>
      <c r="B26" s="50">
        <v>2015</v>
      </c>
      <c r="C26" s="51" t="s">
        <v>13</v>
      </c>
      <c r="D26" s="52" t="s">
        <v>14</v>
      </c>
      <c r="E26" s="52" t="s">
        <v>67</v>
      </c>
      <c r="F26" s="52" t="s">
        <v>9</v>
      </c>
      <c r="G26" s="52" t="s">
        <v>341</v>
      </c>
      <c r="H26" s="52" t="s">
        <v>342</v>
      </c>
      <c r="I26" s="52" t="s">
        <v>343</v>
      </c>
      <c r="J26" s="52" t="s">
        <v>11</v>
      </c>
      <c r="K26" s="52" t="s">
        <v>213</v>
      </c>
      <c r="L26" s="55">
        <v>24</v>
      </c>
      <c r="M26" s="50">
        <v>5</v>
      </c>
      <c r="N26" s="54">
        <f t="shared" si="0"/>
        <v>20.833333333333332</v>
      </c>
      <c r="O26" s="52" t="s">
        <v>344</v>
      </c>
      <c r="P26" s="55">
        <v>35</v>
      </c>
      <c r="Q26" s="50">
        <v>1</v>
      </c>
      <c r="R26" s="54">
        <f t="shared" si="1"/>
        <v>2.8571428571428572</v>
      </c>
      <c r="S26" s="52" t="s">
        <v>344</v>
      </c>
      <c r="T26" s="52" t="s">
        <v>627</v>
      </c>
      <c r="U26" s="62">
        <v>94</v>
      </c>
    </row>
    <row r="27" spans="1:21" ht="15" customHeight="1">
      <c r="A27" s="60" t="s">
        <v>207</v>
      </c>
      <c r="B27" s="50">
        <v>2015</v>
      </c>
      <c r="C27" s="51" t="s">
        <v>13</v>
      </c>
      <c r="D27" s="52" t="s">
        <v>14</v>
      </c>
      <c r="E27" s="52" t="s">
        <v>67</v>
      </c>
      <c r="F27" s="52" t="s">
        <v>9</v>
      </c>
      <c r="G27" s="52" t="s">
        <v>341</v>
      </c>
      <c r="H27" s="52" t="s">
        <v>342</v>
      </c>
      <c r="I27" s="52" t="s">
        <v>343</v>
      </c>
      <c r="J27" s="52" t="s">
        <v>11</v>
      </c>
      <c r="K27" s="52" t="s">
        <v>214</v>
      </c>
      <c r="L27" s="55">
        <v>8</v>
      </c>
      <c r="M27" s="50">
        <v>1</v>
      </c>
      <c r="N27" s="54">
        <f t="shared" si="0"/>
        <v>12.5</v>
      </c>
      <c r="O27" s="52" t="s">
        <v>344</v>
      </c>
      <c r="P27" s="55">
        <v>14</v>
      </c>
      <c r="Q27" s="50">
        <v>3</v>
      </c>
      <c r="R27" s="54">
        <f t="shared" si="1"/>
        <v>21.428571428571427</v>
      </c>
      <c r="S27" s="52" t="s">
        <v>344</v>
      </c>
      <c r="T27" s="52" t="s">
        <v>627</v>
      </c>
      <c r="U27" s="62">
        <v>94</v>
      </c>
    </row>
    <row r="28" spans="1:21" ht="15" customHeight="1">
      <c r="A28" s="60" t="s">
        <v>138</v>
      </c>
      <c r="B28" s="50">
        <v>2015</v>
      </c>
      <c r="C28" s="51" t="s">
        <v>605</v>
      </c>
      <c r="D28" s="52" t="s">
        <v>15</v>
      </c>
      <c r="E28" s="52" t="s">
        <v>346</v>
      </c>
      <c r="F28" s="52" t="s">
        <v>9</v>
      </c>
      <c r="G28" s="52" t="s">
        <v>140</v>
      </c>
      <c r="H28" s="52" t="s">
        <v>22</v>
      </c>
      <c r="I28" s="52" t="s">
        <v>89</v>
      </c>
      <c r="J28" s="52" t="s">
        <v>16</v>
      </c>
      <c r="K28" s="52" t="s">
        <v>142</v>
      </c>
      <c r="L28" s="52" t="s">
        <v>10</v>
      </c>
      <c r="M28" s="52" t="s">
        <v>10</v>
      </c>
      <c r="N28" s="52" t="s">
        <v>10</v>
      </c>
      <c r="O28" s="52" t="s">
        <v>10</v>
      </c>
      <c r="P28" s="50">
        <f>3969+3923</f>
        <v>7892</v>
      </c>
      <c r="Q28" s="53"/>
      <c r="R28" s="54">
        <v>25.6</v>
      </c>
      <c r="S28" s="52" t="s">
        <v>347</v>
      </c>
      <c r="T28" s="52" t="s">
        <v>628</v>
      </c>
      <c r="U28" s="62">
        <v>80</v>
      </c>
    </row>
    <row r="29" spans="1:21" ht="15" customHeight="1">
      <c r="A29" s="60" t="s">
        <v>138</v>
      </c>
      <c r="B29" s="50">
        <v>2015</v>
      </c>
      <c r="C29" s="51" t="s">
        <v>605</v>
      </c>
      <c r="D29" s="52" t="s">
        <v>15</v>
      </c>
      <c r="E29" s="52" t="s">
        <v>346</v>
      </c>
      <c r="F29" s="52" t="s">
        <v>9</v>
      </c>
      <c r="G29" s="52" t="s">
        <v>140</v>
      </c>
      <c r="H29" s="52" t="s">
        <v>22</v>
      </c>
      <c r="I29" s="52" t="s">
        <v>89</v>
      </c>
      <c r="J29" s="52" t="s">
        <v>16</v>
      </c>
      <c r="K29" s="52" t="s">
        <v>24</v>
      </c>
      <c r="L29" s="52" t="s">
        <v>10</v>
      </c>
      <c r="M29" s="52" t="s">
        <v>10</v>
      </c>
      <c r="N29" s="52" t="s">
        <v>10</v>
      </c>
      <c r="O29" s="52" t="s">
        <v>10</v>
      </c>
      <c r="P29" s="50">
        <f t="shared" ref="P29:P35" si="2">P37+P45</f>
        <v>1403</v>
      </c>
      <c r="Q29" s="53"/>
      <c r="R29" s="54">
        <v>9.2100000000000009</v>
      </c>
      <c r="S29" s="52" t="s">
        <v>347</v>
      </c>
      <c r="T29" s="52" t="s">
        <v>628</v>
      </c>
      <c r="U29" s="62">
        <v>80</v>
      </c>
    </row>
    <row r="30" spans="1:21" ht="15" customHeight="1">
      <c r="A30" s="60" t="s">
        <v>138</v>
      </c>
      <c r="B30" s="50">
        <v>2015</v>
      </c>
      <c r="C30" s="51" t="s">
        <v>605</v>
      </c>
      <c r="D30" s="52" t="s">
        <v>15</v>
      </c>
      <c r="E30" s="52" t="s">
        <v>346</v>
      </c>
      <c r="F30" s="52" t="s">
        <v>9</v>
      </c>
      <c r="G30" s="52" t="s">
        <v>140</v>
      </c>
      <c r="H30" s="52" t="s">
        <v>22</v>
      </c>
      <c r="I30" s="52" t="s">
        <v>89</v>
      </c>
      <c r="J30" s="52" t="s">
        <v>16</v>
      </c>
      <c r="K30" s="52" t="s">
        <v>25</v>
      </c>
      <c r="L30" s="52" t="s">
        <v>10</v>
      </c>
      <c r="M30" s="52" t="s">
        <v>10</v>
      </c>
      <c r="N30" s="52" t="s">
        <v>10</v>
      </c>
      <c r="O30" s="52" t="s">
        <v>10</v>
      </c>
      <c r="P30" s="50">
        <f t="shared" si="2"/>
        <v>1418</v>
      </c>
      <c r="Q30" s="53"/>
      <c r="R30" s="54">
        <v>16.91</v>
      </c>
      <c r="S30" s="52" t="s">
        <v>347</v>
      </c>
      <c r="T30" s="52" t="s">
        <v>628</v>
      </c>
      <c r="U30" s="62">
        <v>80</v>
      </c>
    </row>
    <row r="31" spans="1:21" ht="15" customHeight="1">
      <c r="A31" s="60" t="s">
        <v>138</v>
      </c>
      <c r="B31" s="50">
        <v>2015</v>
      </c>
      <c r="C31" s="51" t="s">
        <v>605</v>
      </c>
      <c r="D31" s="52" t="s">
        <v>15</v>
      </c>
      <c r="E31" s="52" t="s">
        <v>346</v>
      </c>
      <c r="F31" s="52" t="s">
        <v>9</v>
      </c>
      <c r="G31" s="52" t="s">
        <v>140</v>
      </c>
      <c r="H31" s="52" t="s">
        <v>22</v>
      </c>
      <c r="I31" s="52" t="s">
        <v>89</v>
      </c>
      <c r="J31" s="52" t="s">
        <v>16</v>
      </c>
      <c r="K31" s="52" t="s">
        <v>26</v>
      </c>
      <c r="L31" s="52" t="s">
        <v>10</v>
      </c>
      <c r="M31" s="52" t="s">
        <v>10</v>
      </c>
      <c r="N31" s="52" t="s">
        <v>10</v>
      </c>
      <c r="O31" s="52" t="s">
        <v>10</v>
      </c>
      <c r="P31" s="50">
        <f t="shared" si="2"/>
        <v>1317</v>
      </c>
      <c r="Q31" s="53"/>
      <c r="R31" s="54">
        <v>20.69</v>
      </c>
      <c r="S31" s="52" t="s">
        <v>347</v>
      </c>
      <c r="T31" s="52" t="s">
        <v>628</v>
      </c>
      <c r="U31" s="62">
        <v>80</v>
      </c>
    </row>
    <row r="32" spans="1:21" ht="15" customHeight="1">
      <c r="A32" s="60" t="s">
        <v>138</v>
      </c>
      <c r="B32" s="50">
        <v>2015</v>
      </c>
      <c r="C32" s="51" t="s">
        <v>605</v>
      </c>
      <c r="D32" s="52" t="s">
        <v>15</v>
      </c>
      <c r="E32" s="52" t="s">
        <v>346</v>
      </c>
      <c r="F32" s="52" t="s">
        <v>9</v>
      </c>
      <c r="G32" s="52" t="s">
        <v>140</v>
      </c>
      <c r="H32" s="52" t="s">
        <v>22</v>
      </c>
      <c r="I32" s="52" t="s">
        <v>89</v>
      </c>
      <c r="J32" s="52" t="s">
        <v>16</v>
      </c>
      <c r="K32" s="52" t="s">
        <v>27</v>
      </c>
      <c r="L32" s="52" t="s">
        <v>10</v>
      </c>
      <c r="M32" s="52" t="s">
        <v>10</v>
      </c>
      <c r="N32" s="52" t="s">
        <v>10</v>
      </c>
      <c r="O32" s="52" t="s">
        <v>10</v>
      </c>
      <c r="P32" s="50">
        <f t="shared" si="2"/>
        <v>1067</v>
      </c>
      <c r="Q32" s="53"/>
      <c r="R32" s="54">
        <v>30.15</v>
      </c>
      <c r="S32" s="52" t="s">
        <v>347</v>
      </c>
      <c r="T32" s="52" t="s">
        <v>628</v>
      </c>
      <c r="U32" s="62">
        <v>80</v>
      </c>
    </row>
    <row r="33" spans="1:21" ht="15" customHeight="1">
      <c r="A33" s="60" t="s">
        <v>138</v>
      </c>
      <c r="B33" s="50">
        <v>2015</v>
      </c>
      <c r="C33" s="51" t="s">
        <v>605</v>
      </c>
      <c r="D33" s="52" t="s">
        <v>15</v>
      </c>
      <c r="E33" s="52" t="s">
        <v>346</v>
      </c>
      <c r="F33" s="52" t="s">
        <v>9</v>
      </c>
      <c r="G33" s="52" t="s">
        <v>140</v>
      </c>
      <c r="H33" s="52" t="s">
        <v>22</v>
      </c>
      <c r="I33" s="52" t="s">
        <v>89</v>
      </c>
      <c r="J33" s="52" t="s">
        <v>16</v>
      </c>
      <c r="K33" s="52" t="s">
        <v>28</v>
      </c>
      <c r="L33" s="52" t="s">
        <v>10</v>
      </c>
      <c r="M33" s="52" t="s">
        <v>10</v>
      </c>
      <c r="N33" s="52" t="s">
        <v>10</v>
      </c>
      <c r="O33" s="52" t="s">
        <v>10</v>
      </c>
      <c r="P33" s="50">
        <f t="shared" si="2"/>
        <v>1063</v>
      </c>
      <c r="Q33" s="53"/>
      <c r="R33" s="54">
        <v>35.28</v>
      </c>
      <c r="S33" s="52" t="s">
        <v>347</v>
      </c>
      <c r="T33" s="52" t="s">
        <v>628</v>
      </c>
      <c r="U33" s="62">
        <v>80</v>
      </c>
    </row>
    <row r="34" spans="1:21" ht="15" customHeight="1">
      <c r="A34" s="60" t="s">
        <v>138</v>
      </c>
      <c r="B34" s="50">
        <v>2015</v>
      </c>
      <c r="C34" s="51" t="s">
        <v>605</v>
      </c>
      <c r="D34" s="52" t="s">
        <v>15</v>
      </c>
      <c r="E34" s="52" t="s">
        <v>346</v>
      </c>
      <c r="F34" s="52" t="s">
        <v>9</v>
      </c>
      <c r="G34" s="52" t="s">
        <v>140</v>
      </c>
      <c r="H34" s="52" t="s">
        <v>22</v>
      </c>
      <c r="I34" s="52" t="s">
        <v>89</v>
      </c>
      <c r="J34" s="52" t="s">
        <v>16</v>
      </c>
      <c r="K34" s="52" t="s">
        <v>72</v>
      </c>
      <c r="L34" s="52" t="s">
        <v>10</v>
      </c>
      <c r="M34" s="52" t="s">
        <v>10</v>
      </c>
      <c r="N34" s="52" t="s">
        <v>10</v>
      </c>
      <c r="O34" s="52" t="s">
        <v>10</v>
      </c>
      <c r="P34" s="50">
        <f t="shared" si="2"/>
        <v>869</v>
      </c>
      <c r="Q34" s="53"/>
      <c r="R34" s="54">
        <v>42.82</v>
      </c>
      <c r="S34" s="52" t="s">
        <v>347</v>
      </c>
      <c r="T34" s="52" t="s">
        <v>628</v>
      </c>
      <c r="U34" s="62">
        <v>80</v>
      </c>
    </row>
    <row r="35" spans="1:21" ht="15" customHeight="1">
      <c r="A35" s="60" t="s">
        <v>138</v>
      </c>
      <c r="B35" s="50">
        <v>2015</v>
      </c>
      <c r="C35" s="51" t="s">
        <v>605</v>
      </c>
      <c r="D35" s="52" t="s">
        <v>15</v>
      </c>
      <c r="E35" s="52" t="s">
        <v>346</v>
      </c>
      <c r="F35" s="52" t="s">
        <v>9</v>
      </c>
      <c r="G35" s="52" t="s">
        <v>140</v>
      </c>
      <c r="H35" s="52" t="s">
        <v>22</v>
      </c>
      <c r="I35" s="52" t="s">
        <v>89</v>
      </c>
      <c r="J35" s="52" t="s">
        <v>16</v>
      </c>
      <c r="K35" s="52" t="s">
        <v>73</v>
      </c>
      <c r="L35" s="52" t="s">
        <v>10</v>
      </c>
      <c r="M35" s="52" t="s">
        <v>10</v>
      </c>
      <c r="N35" s="52" t="s">
        <v>10</v>
      </c>
      <c r="O35" s="52" t="s">
        <v>10</v>
      </c>
      <c r="P35" s="50">
        <f t="shared" si="2"/>
        <v>755</v>
      </c>
      <c r="Q35" s="53"/>
      <c r="R35" s="54">
        <v>45.72</v>
      </c>
      <c r="S35" s="52" t="s">
        <v>347</v>
      </c>
      <c r="T35" s="52" t="s">
        <v>628</v>
      </c>
      <c r="U35" s="62">
        <v>80</v>
      </c>
    </row>
    <row r="36" spans="1:21" ht="15" customHeight="1">
      <c r="A36" s="60" t="s">
        <v>138</v>
      </c>
      <c r="B36" s="50">
        <v>2015</v>
      </c>
      <c r="C36" s="51" t="s">
        <v>605</v>
      </c>
      <c r="D36" s="52" t="s">
        <v>15</v>
      </c>
      <c r="E36" s="52" t="s">
        <v>346</v>
      </c>
      <c r="F36" s="52" t="s">
        <v>9</v>
      </c>
      <c r="G36" s="52" t="s">
        <v>140</v>
      </c>
      <c r="H36" s="52" t="s">
        <v>22</v>
      </c>
      <c r="I36" s="52" t="s">
        <v>89</v>
      </c>
      <c r="J36" s="52" t="s">
        <v>23</v>
      </c>
      <c r="K36" s="52" t="s">
        <v>142</v>
      </c>
      <c r="L36" s="52" t="s">
        <v>10</v>
      </c>
      <c r="M36" s="52" t="s">
        <v>10</v>
      </c>
      <c r="N36" s="52" t="s">
        <v>10</v>
      </c>
      <c r="O36" s="52" t="s">
        <v>10</v>
      </c>
      <c r="P36" s="50">
        <v>3923</v>
      </c>
      <c r="Q36" s="53"/>
      <c r="R36" s="54">
        <v>20.2</v>
      </c>
      <c r="S36" s="52" t="s">
        <v>347</v>
      </c>
      <c r="T36" s="52" t="s">
        <v>628</v>
      </c>
      <c r="U36" s="62">
        <v>80</v>
      </c>
    </row>
    <row r="37" spans="1:21" ht="15" customHeight="1">
      <c r="A37" s="63" t="s">
        <v>138</v>
      </c>
      <c r="B37" s="50">
        <v>2015</v>
      </c>
      <c r="C37" s="51" t="s">
        <v>605</v>
      </c>
      <c r="D37" s="52" t="s">
        <v>15</v>
      </c>
      <c r="E37" s="52" t="s">
        <v>346</v>
      </c>
      <c r="F37" s="52" t="s">
        <v>9</v>
      </c>
      <c r="G37" s="52" t="s">
        <v>140</v>
      </c>
      <c r="H37" s="52" t="s">
        <v>22</v>
      </c>
      <c r="I37" s="52" t="s">
        <v>89</v>
      </c>
      <c r="J37" s="52" t="s">
        <v>23</v>
      </c>
      <c r="K37" s="52" t="s">
        <v>24</v>
      </c>
      <c r="L37" s="52" t="s">
        <v>10</v>
      </c>
      <c r="M37" s="52" t="s">
        <v>10</v>
      </c>
      <c r="N37" s="52" t="s">
        <v>10</v>
      </c>
      <c r="O37" s="52" t="s">
        <v>10</v>
      </c>
      <c r="P37" s="50">
        <v>737</v>
      </c>
      <c r="Q37" s="53"/>
      <c r="R37" s="54">
        <v>6.62</v>
      </c>
      <c r="S37" s="52" t="s">
        <v>347</v>
      </c>
      <c r="T37" s="52" t="s">
        <v>628</v>
      </c>
      <c r="U37" s="62">
        <v>80</v>
      </c>
    </row>
    <row r="38" spans="1:21" ht="15" customHeight="1">
      <c r="A38" s="60" t="s">
        <v>138</v>
      </c>
      <c r="B38" s="50">
        <v>2015</v>
      </c>
      <c r="C38" s="51" t="s">
        <v>605</v>
      </c>
      <c r="D38" s="52" t="s">
        <v>15</v>
      </c>
      <c r="E38" s="52" t="s">
        <v>346</v>
      </c>
      <c r="F38" s="52" t="s">
        <v>9</v>
      </c>
      <c r="G38" s="52" t="s">
        <v>140</v>
      </c>
      <c r="H38" s="52" t="s">
        <v>22</v>
      </c>
      <c r="I38" s="52" t="s">
        <v>89</v>
      </c>
      <c r="J38" s="52" t="s">
        <v>23</v>
      </c>
      <c r="K38" s="52" t="s">
        <v>25</v>
      </c>
      <c r="L38" s="52" t="s">
        <v>10</v>
      </c>
      <c r="M38" s="52" t="s">
        <v>10</v>
      </c>
      <c r="N38" s="52" t="s">
        <v>10</v>
      </c>
      <c r="O38" s="52" t="s">
        <v>10</v>
      </c>
      <c r="P38" s="50">
        <v>672</v>
      </c>
      <c r="Q38" s="53"/>
      <c r="R38" s="54">
        <v>10.3</v>
      </c>
      <c r="S38" s="52" t="s">
        <v>347</v>
      </c>
      <c r="T38" s="52" t="s">
        <v>628</v>
      </c>
      <c r="U38" s="62">
        <v>80</v>
      </c>
    </row>
    <row r="39" spans="1:21" ht="15" customHeight="1">
      <c r="A39" s="60" t="s">
        <v>138</v>
      </c>
      <c r="B39" s="50">
        <v>2015</v>
      </c>
      <c r="C39" s="51" t="s">
        <v>605</v>
      </c>
      <c r="D39" s="52" t="s">
        <v>15</v>
      </c>
      <c r="E39" s="52" t="s">
        <v>346</v>
      </c>
      <c r="F39" s="52" t="s">
        <v>9</v>
      </c>
      <c r="G39" s="52" t="s">
        <v>140</v>
      </c>
      <c r="H39" s="52" t="s">
        <v>22</v>
      </c>
      <c r="I39" s="52" t="s">
        <v>89</v>
      </c>
      <c r="J39" s="52" t="s">
        <v>23</v>
      </c>
      <c r="K39" s="52" t="s">
        <v>26</v>
      </c>
      <c r="L39" s="52" t="s">
        <v>10</v>
      </c>
      <c r="M39" s="52" t="s">
        <v>10</v>
      </c>
      <c r="N39" s="52" t="s">
        <v>10</v>
      </c>
      <c r="O39" s="52" t="s">
        <v>10</v>
      </c>
      <c r="P39" s="50">
        <v>652</v>
      </c>
      <c r="Q39" s="53"/>
      <c r="R39" s="54">
        <v>16.78</v>
      </c>
      <c r="S39" s="52" t="s">
        <v>347</v>
      </c>
      <c r="T39" s="52" t="s">
        <v>628</v>
      </c>
      <c r="U39" s="62">
        <v>80</v>
      </c>
    </row>
    <row r="40" spans="1:21" ht="15" customHeight="1">
      <c r="A40" s="60" t="s">
        <v>138</v>
      </c>
      <c r="B40" s="50">
        <v>2015</v>
      </c>
      <c r="C40" s="51" t="s">
        <v>605</v>
      </c>
      <c r="D40" s="52" t="s">
        <v>15</v>
      </c>
      <c r="E40" s="52" t="s">
        <v>346</v>
      </c>
      <c r="F40" s="52" t="s">
        <v>9</v>
      </c>
      <c r="G40" s="52" t="s">
        <v>140</v>
      </c>
      <c r="H40" s="52" t="s">
        <v>22</v>
      </c>
      <c r="I40" s="52" t="s">
        <v>89</v>
      </c>
      <c r="J40" s="52" t="s">
        <v>23</v>
      </c>
      <c r="K40" s="52" t="s">
        <v>27</v>
      </c>
      <c r="L40" s="52" t="s">
        <v>10</v>
      </c>
      <c r="M40" s="52" t="s">
        <v>10</v>
      </c>
      <c r="N40" s="52" t="s">
        <v>10</v>
      </c>
      <c r="O40" s="52" t="s">
        <v>10</v>
      </c>
      <c r="P40" s="50">
        <v>514</v>
      </c>
      <c r="Q40" s="53"/>
      <c r="R40" s="54">
        <v>25.1</v>
      </c>
      <c r="S40" s="52" t="s">
        <v>347</v>
      </c>
      <c r="T40" s="52" t="s">
        <v>628</v>
      </c>
      <c r="U40" s="62">
        <v>80</v>
      </c>
    </row>
    <row r="41" spans="1:21" ht="15" customHeight="1">
      <c r="A41" s="60" t="s">
        <v>138</v>
      </c>
      <c r="B41" s="50">
        <v>2015</v>
      </c>
      <c r="C41" s="51" t="s">
        <v>605</v>
      </c>
      <c r="D41" s="52" t="s">
        <v>15</v>
      </c>
      <c r="E41" s="52" t="s">
        <v>346</v>
      </c>
      <c r="F41" s="52" t="s">
        <v>9</v>
      </c>
      <c r="G41" s="52" t="s">
        <v>140</v>
      </c>
      <c r="H41" s="52" t="s">
        <v>22</v>
      </c>
      <c r="I41" s="52" t="s">
        <v>89</v>
      </c>
      <c r="J41" s="52" t="s">
        <v>23</v>
      </c>
      <c r="K41" s="52" t="s">
        <v>28</v>
      </c>
      <c r="L41" s="52" t="s">
        <v>10</v>
      </c>
      <c r="M41" s="52" t="s">
        <v>10</v>
      </c>
      <c r="N41" s="52" t="s">
        <v>10</v>
      </c>
      <c r="O41" s="52" t="s">
        <v>10</v>
      </c>
      <c r="P41" s="50">
        <v>522</v>
      </c>
      <c r="Q41" s="53"/>
      <c r="R41" s="54">
        <v>25.87</v>
      </c>
      <c r="S41" s="52" t="s">
        <v>347</v>
      </c>
      <c r="T41" s="52" t="s">
        <v>628</v>
      </c>
      <c r="U41" s="62">
        <v>80</v>
      </c>
    </row>
    <row r="42" spans="1:21" ht="15" customHeight="1">
      <c r="A42" s="60" t="s">
        <v>138</v>
      </c>
      <c r="B42" s="50">
        <v>2015</v>
      </c>
      <c r="C42" s="51" t="s">
        <v>605</v>
      </c>
      <c r="D42" s="52" t="s">
        <v>15</v>
      </c>
      <c r="E42" s="52" t="s">
        <v>346</v>
      </c>
      <c r="F42" s="52" t="s">
        <v>9</v>
      </c>
      <c r="G42" s="52" t="s">
        <v>140</v>
      </c>
      <c r="H42" s="52" t="s">
        <v>22</v>
      </c>
      <c r="I42" s="52" t="s">
        <v>89</v>
      </c>
      <c r="J42" s="52" t="s">
        <v>23</v>
      </c>
      <c r="K42" s="52" t="s">
        <v>72</v>
      </c>
      <c r="L42" s="52" t="s">
        <v>10</v>
      </c>
      <c r="M42" s="52" t="s">
        <v>10</v>
      </c>
      <c r="N42" s="52" t="s">
        <v>10</v>
      </c>
      <c r="O42" s="52" t="s">
        <v>10</v>
      </c>
      <c r="P42" s="50">
        <v>402</v>
      </c>
      <c r="Q42" s="53"/>
      <c r="R42" s="54">
        <v>31.7</v>
      </c>
      <c r="S42" s="52" t="s">
        <v>347</v>
      </c>
      <c r="T42" s="52" t="s">
        <v>628</v>
      </c>
      <c r="U42" s="62">
        <v>80</v>
      </c>
    </row>
    <row r="43" spans="1:21" ht="15" customHeight="1">
      <c r="A43" s="60" t="s">
        <v>138</v>
      </c>
      <c r="B43" s="50">
        <v>2015</v>
      </c>
      <c r="C43" s="51" t="s">
        <v>605</v>
      </c>
      <c r="D43" s="52" t="s">
        <v>15</v>
      </c>
      <c r="E43" s="52" t="s">
        <v>346</v>
      </c>
      <c r="F43" s="52" t="s">
        <v>9</v>
      </c>
      <c r="G43" s="52" t="s">
        <v>140</v>
      </c>
      <c r="H43" s="52" t="s">
        <v>22</v>
      </c>
      <c r="I43" s="52" t="s">
        <v>89</v>
      </c>
      <c r="J43" s="52" t="s">
        <v>23</v>
      </c>
      <c r="K43" s="52" t="s">
        <v>73</v>
      </c>
      <c r="L43" s="52" t="s">
        <v>10</v>
      </c>
      <c r="M43" s="52" t="s">
        <v>10</v>
      </c>
      <c r="N43" s="52" t="s">
        <v>10</v>
      </c>
      <c r="O43" s="52" t="s">
        <v>10</v>
      </c>
      <c r="P43" s="50">
        <v>424</v>
      </c>
      <c r="Q43" s="53"/>
      <c r="R43" s="54">
        <v>44.82</v>
      </c>
      <c r="S43" s="52" t="s">
        <v>347</v>
      </c>
      <c r="T43" s="52" t="s">
        <v>628</v>
      </c>
      <c r="U43" s="62">
        <v>80</v>
      </c>
    </row>
    <row r="44" spans="1:21" ht="15" customHeight="1">
      <c r="A44" s="60" t="s">
        <v>138</v>
      </c>
      <c r="B44" s="50">
        <v>2015</v>
      </c>
      <c r="C44" s="51" t="s">
        <v>605</v>
      </c>
      <c r="D44" s="52" t="s">
        <v>15</v>
      </c>
      <c r="E44" s="52" t="s">
        <v>346</v>
      </c>
      <c r="F44" s="52" t="s">
        <v>9</v>
      </c>
      <c r="G44" s="52" t="s">
        <v>140</v>
      </c>
      <c r="H44" s="52" t="s">
        <v>22</v>
      </c>
      <c r="I44" s="52" t="s">
        <v>89</v>
      </c>
      <c r="J44" s="52" t="s">
        <v>11</v>
      </c>
      <c r="K44" s="52" t="s">
        <v>142</v>
      </c>
      <c r="L44" s="52" t="s">
        <v>10</v>
      </c>
      <c r="M44" s="52" t="s">
        <v>10</v>
      </c>
      <c r="N44" s="52" t="s">
        <v>10</v>
      </c>
      <c r="O44" s="52" t="s">
        <v>10</v>
      </c>
      <c r="P44" s="50">
        <v>3969</v>
      </c>
      <c r="Q44" s="53"/>
      <c r="R44" s="54">
        <v>31.1</v>
      </c>
      <c r="S44" s="52" t="s">
        <v>347</v>
      </c>
      <c r="T44" s="52" t="s">
        <v>628</v>
      </c>
      <c r="U44" s="62">
        <v>80</v>
      </c>
    </row>
    <row r="45" spans="1:21" ht="15" customHeight="1">
      <c r="A45" s="63" t="s">
        <v>138</v>
      </c>
      <c r="B45" s="50">
        <v>2015</v>
      </c>
      <c r="C45" s="51" t="s">
        <v>605</v>
      </c>
      <c r="D45" s="52" t="s">
        <v>15</v>
      </c>
      <c r="E45" s="52" t="s">
        <v>346</v>
      </c>
      <c r="F45" s="52" t="s">
        <v>9</v>
      </c>
      <c r="G45" s="52" t="s">
        <v>140</v>
      </c>
      <c r="H45" s="52" t="s">
        <v>22</v>
      </c>
      <c r="I45" s="52" t="s">
        <v>89</v>
      </c>
      <c r="J45" s="52" t="s">
        <v>11</v>
      </c>
      <c r="K45" s="52" t="s">
        <v>24</v>
      </c>
      <c r="L45" s="52" t="s">
        <v>10</v>
      </c>
      <c r="M45" s="52" t="s">
        <v>10</v>
      </c>
      <c r="N45" s="52" t="s">
        <v>10</v>
      </c>
      <c r="O45" s="52" t="s">
        <v>10</v>
      </c>
      <c r="P45" s="50">
        <v>666</v>
      </c>
      <c r="Q45" s="53"/>
      <c r="R45" s="54">
        <v>12.12</v>
      </c>
      <c r="S45" s="52" t="s">
        <v>347</v>
      </c>
      <c r="T45" s="52" t="s">
        <v>628</v>
      </c>
      <c r="U45" s="62">
        <v>80</v>
      </c>
    </row>
    <row r="46" spans="1:21" ht="15" customHeight="1">
      <c r="A46" s="60" t="s">
        <v>138</v>
      </c>
      <c r="B46" s="50">
        <v>2015</v>
      </c>
      <c r="C46" s="51" t="s">
        <v>605</v>
      </c>
      <c r="D46" s="52" t="s">
        <v>15</v>
      </c>
      <c r="E46" s="52" t="s">
        <v>346</v>
      </c>
      <c r="F46" s="52" t="s">
        <v>9</v>
      </c>
      <c r="G46" s="52" t="s">
        <v>140</v>
      </c>
      <c r="H46" s="52" t="s">
        <v>22</v>
      </c>
      <c r="I46" s="52" t="s">
        <v>89</v>
      </c>
      <c r="J46" s="52" t="s">
        <v>11</v>
      </c>
      <c r="K46" s="52" t="s">
        <v>25</v>
      </c>
      <c r="L46" s="52" t="s">
        <v>10</v>
      </c>
      <c r="M46" s="52" t="s">
        <v>10</v>
      </c>
      <c r="N46" s="52" t="s">
        <v>10</v>
      </c>
      <c r="O46" s="52" t="s">
        <v>10</v>
      </c>
      <c r="P46" s="50">
        <v>746</v>
      </c>
      <c r="Q46" s="53"/>
      <c r="R46" s="54">
        <v>23.08</v>
      </c>
      <c r="S46" s="52" t="s">
        <v>347</v>
      </c>
      <c r="T46" s="52" t="s">
        <v>628</v>
      </c>
      <c r="U46" s="62">
        <v>80</v>
      </c>
    </row>
    <row r="47" spans="1:21" ht="15" customHeight="1">
      <c r="A47" s="60" t="s">
        <v>138</v>
      </c>
      <c r="B47" s="50">
        <v>2015</v>
      </c>
      <c r="C47" s="51" t="s">
        <v>605</v>
      </c>
      <c r="D47" s="52" t="s">
        <v>15</v>
      </c>
      <c r="E47" s="52" t="s">
        <v>346</v>
      </c>
      <c r="F47" s="52" t="s">
        <v>9</v>
      </c>
      <c r="G47" s="52" t="s">
        <v>140</v>
      </c>
      <c r="H47" s="52" t="s">
        <v>22</v>
      </c>
      <c r="I47" s="52" t="s">
        <v>89</v>
      </c>
      <c r="J47" s="52" t="s">
        <v>11</v>
      </c>
      <c r="K47" s="52" t="s">
        <v>26</v>
      </c>
      <c r="L47" s="52" t="s">
        <v>10</v>
      </c>
      <c r="M47" s="52" t="s">
        <v>10</v>
      </c>
      <c r="N47" s="52" t="s">
        <v>10</v>
      </c>
      <c r="O47" s="52" t="s">
        <v>10</v>
      </c>
      <c r="P47" s="50">
        <v>665</v>
      </c>
      <c r="Q47" s="53"/>
      <c r="R47" s="54">
        <v>24.63</v>
      </c>
      <c r="S47" s="52" t="s">
        <v>347</v>
      </c>
      <c r="T47" s="52" t="s">
        <v>628</v>
      </c>
      <c r="U47" s="62">
        <v>80</v>
      </c>
    </row>
    <row r="48" spans="1:21" ht="15" customHeight="1">
      <c r="A48" s="60" t="s">
        <v>138</v>
      </c>
      <c r="B48" s="50">
        <v>2015</v>
      </c>
      <c r="C48" s="51" t="s">
        <v>605</v>
      </c>
      <c r="D48" s="52" t="s">
        <v>15</v>
      </c>
      <c r="E48" s="52" t="s">
        <v>346</v>
      </c>
      <c r="F48" s="52" t="s">
        <v>9</v>
      </c>
      <c r="G48" s="52" t="s">
        <v>140</v>
      </c>
      <c r="H48" s="52" t="s">
        <v>22</v>
      </c>
      <c r="I48" s="52" t="s">
        <v>89</v>
      </c>
      <c r="J48" s="52" t="s">
        <v>11</v>
      </c>
      <c r="K48" s="52" t="s">
        <v>27</v>
      </c>
      <c r="L48" s="52" t="s">
        <v>10</v>
      </c>
      <c r="M48" s="52" t="s">
        <v>10</v>
      </c>
      <c r="N48" s="52" t="s">
        <v>10</v>
      </c>
      <c r="O48" s="52" t="s">
        <v>10</v>
      </c>
      <c r="P48" s="50">
        <v>553</v>
      </c>
      <c r="Q48" s="53"/>
      <c r="R48" s="54">
        <v>34.97</v>
      </c>
      <c r="S48" s="52" t="s">
        <v>347</v>
      </c>
      <c r="T48" s="52" t="s">
        <v>628</v>
      </c>
      <c r="U48" s="62">
        <v>80</v>
      </c>
    </row>
    <row r="49" spans="1:21" ht="15" customHeight="1">
      <c r="A49" s="60" t="s">
        <v>138</v>
      </c>
      <c r="B49" s="50">
        <v>2015</v>
      </c>
      <c r="C49" s="51" t="s">
        <v>605</v>
      </c>
      <c r="D49" s="52" t="s">
        <v>15</v>
      </c>
      <c r="E49" s="52" t="s">
        <v>346</v>
      </c>
      <c r="F49" s="52" t="s">
        <v>9</v>
      </c>
      <c r="G49" s="52" t="s">
        <v>140</v>
      </c>
      <c r="H49" s="52" t="s">
        <v>22</v>
      </c>
      <c r="I49" s="52" t="s">
        <v>89</v>
      </c>
      <c r="J49" s="52" t="s">
        <v>11</v>
      </c>
      <c r="K49" s="52" t="s">
        <v>28</v>
      </c>
      <c r="L49" s="52" t="s">
        <v>10</v>
      </c>
      <c r="M49" s="52" t="s">
        <v>10</v>
      </c>
      <c r="N49" s="52" t="s">
        <v>10</v>
      </c>
      <c r="O49" s="52" t="s">
        <v>10</v>
      </c>
      <c r="P49" s="50">
        <v>541</v>
      </c>
      <c r="Q49" s="53"/>
      <c r="R49" s="54">
        <v>44.85</v>
      </c>
      <c r="S49" s="52" t="s">
        <v>347</v>
      </c>
      <c r="T49" s="52" t="s">
        <v>628</v>
      </c>
      <c r="U49" s="62">
        <v>80</v>
      </c>
    </row>
    <row r="50" spans="1:21" ht="15" customHeight="1">
      <c r="A50" s="60" t="s">
        <v>138</v>
      </c>
      <c r="B50" s="50">
        <v>2015</v>
      </c>
      <c r="C50" s="51" t="s">
        <v>605</v>
      </c>
      <c r="D50" s="52" t="s">
        <v>15</v>
      </c>
      <c r="E50" s="52" t="s">
        <v>346</v>
      </c>
      <c r="F50" s="52" t="s">
        <v>9</v>
      </c>
      <c r="G50" s="52" t="s">
        <v>140</v>
      </c>
      <c r="H50" s="52" t="s">
        <v>22</v>
      </c>
      <c r="I50" s="52" t="s">
        <v>89</v>
      </c>
      <c r="J50" s="52" t="s">
        <v>11</v>
      </c>
      <c r="K50" s="52" t="s">
        <v>72</v>
      </c>
      <c r="L50" s="52" t="s">
        <v>10</v>
      </c>
      <c r="M50" s="52" t="s">
        <v>10</v>
      </c>
      <c r="N50" s="52" t="s">
        <v>10</v>
      </c>
      <c r="O50" s="52" t="s">
        <v>10</v>
      </c>
      <c r="P50" s="50">
        <v>467</v>
      </c>
      <c r="Q50" s="53"/>
      <c r="R50" s="54">
        <v>52.96</v>
      </c>
      <c r="S50" s="52" t="s">
        <v>347</v>
      </c>
      <c r="T50" s="52" t="s">
        <v>628</v>
      </c>
      <c r="U50" s="62">
        <v>80</v>
      </c>
    </row>
    <row r="51" spans="1:21" ht="15" customHeight="1">
      <c r="A51" s="60" t="s">
        <v>138</v>
      </c>
      <c r="B51" s="50">
        <v>2015</v>
      </c>
      <c r="C51" s="51" t="s">
        <v>605</v>
      </c>
      <c r="D51" s="52" t="s">
        <v>15</v>
      </c>
      <c r="E51" s="52" t="s">
        <v>346</v>
      </c>
      <c r="F51" s="52" t="s">
        <v>9</v>
      </c>
      <c r="G51" s="52" t="s">
        <v>140</v>
      </c>
      <c r="H51" s="52" t="s">
        <v>22</v>
      </c>
      <c r="I51" s="52" t="s">
        <v>89</v>
      </c>
      <c r="J51" s="52" t="s">
        <v>11</v>
      </c>
      <c r="K51" s="52" t="s">
        <v>73</v>
      </c>
      <c r="L51" s="52" t="s">
        <v>10</v>
      </c>
      <c r="M51" s="52" t="s">
        <v>10</v>
      </c>
      <c r="N51" s="52" t="s">
        <v>10</v>
      </c>
      <c r="O51" s="52" t="s">
        <v>10</v>
      </c>
      <c r="P51" s="50">
        <v>331</v>
      </c>
      <c r="Q51" s="53"/>
      <c r="R51" s="54">
        <v>46.89</v>
      </c>
      <c r="S51" s="52" t="s">
        <v>347</v>
      </c>
      <c r="T51" s="52" t="s">
        <v>628</v>
      </c>
      <c r="U51" s="62">
        <v>80</v>
      </c>
    </row>
    <row r="52" spans="1:21" ht="15" customHeight="1">
      <c r="A52" s="60" t="s">
        <v>348</v>
      </c>
      <c r="B52" s="50">
        <v>2017</v>
      </c>
      <c r="C52" s="52" t="s">
        <v>605</v>
      </c>
      <c r="D52" s="52" t="s">
        <v>115</v>
      </c>
      <c r="E52" s="52" t="s">
        <v>349</v>
      </c>
      <c r="F52" s="52" t="s">
        <v>117</v>
      </c>
      <c r="G52" s="52" t="s">
        <v>350</v>
      </c>
      <c r="H52" s="52" t="s">
        <v>22</v>
      </c>
      <c r="I52" s="52" t="s">
        <v>351</v>
      </c>
      <c r="J52" s="52" t="s">
        <v>16</v>
      </c>
      <c r="K52" s="52" t="s">
        <v>120</v>
      </c>
      <c r="L52" s="52" t="s">
        <v>10</v>
      </c>
      <c r="M52" s="52" t="s">
        <v>10</v>
      </c>
      <c r="N52" s="52" t="s">
        <v>10</v>
      </c>
      <c r="O52" s="52" t="s">
        <v>10</v>
      </c>
      <c r="P52" s="50">
        <f>807+794+227+218</f>
        <v>2046</v>
      </c>
      <c r="Q52" s="50">
        <f>11+11+32+37</f>
        <v>91</v>
      </c>
      <c r="R52" s="54">
        <f>Q52*100/P52</f>
        <v>4.4477028347996086</v>
      </c>
      <c r="S52" s="52" t="s">
        <v>344</v>
      </c>
      <c r="T52" s="78" t="s">
        <v>631</v>
      </c>
      <c r="U52" s="62">
        <v>76</v>
      </c>
    </row>
    <row r="53" spans="1:21" ht="15" customHeight="1">
      <c r="A53" s="60" t="s">
        <v>352</v>
      </c>
      <c r="B53" s="50">
        <v>2013</v>
      </c>
      <c r="C53" s="52" t="s">
        <v>604</v>
      </c>
      <c r="D53" s="52" t="s">
        <v>353</v>
      </c>
      <c r="E53" s="52" t="s">
        <v>354</v>
      </c>
      <c r="F53" s="52" t="s">
        <v>355</v>
      </c>
      <c r="G53" s="52" t="s">
        <v>356</v>
      </c>
      <c r="H53" s="52" t="s">
        <v>22</v>
      </c>
      <c r="I53" s="52" t="s">
        <v>9</v>
      </c>
      <c r="J53" s="52" t="s">
        <v>16</v>
      </c>
      <c r="K53" s="52" t="s">
        <v>357</v>
      </c>
      <c r="L53" s="52" t="s">
        <v>10</v>
      </c>
      <c r="M53" s="52" t="s">
        <v>10</v>
      </c>
      <c r="N53" s="52" t="s">
        <v>10</v>
      </c>
      <c r="O53" s="52" t="s">
        <v>10</v>
      </c>
      <c r="P53" s="50">
        <f>363+341</f>
        <v>704</v>
      </c>
      <c r="Q53" s="50">
        <v>25</v>
      </c>
      <c r="R53" s="54">
        <f>Q53*100/P53</f>
        <v>3.5511363636363638</v>
      </c>
      <c r="S53" s="52" t="s">
        <v>344</v>
      </c>
      <c r="T53" s="74" t="s">
        <v>626</v>
      </c>
      <c r="U53" s="62">
        <v>120</v>
      </c>
    </row>
    <row r="54" spans="1:21" ht="15" customHeight="1">
      <c r="A54" s="60" t="s">
        <v>352</v>
      </c>
      <c r="B54" s="50">
        <v>2013</v>
      </c>
      <c r="C54" s="52" t="s">
        <v>604</v>
      </c>
      <c r="D54" s="52" t="s">
        <v>353</v>
      </c>
      <c r="E54" s="52" t="s">
        <v>354</v>
      </c>
      <c r="F54" s="52" t="s">
        <v>355</v>
      </c>
      <c r="G54" s="52" t="s">
        <v>356</v>
      </c>
      <c r="H54" s="52" t="s">
        <v>22</v>
      </c>
      <c r="I54" s="52" t="s">
        <v>9</v>
      </c>
      <c r="J54" s="52" t="s">
        <v>23</v>
      </c>
      <c r="K54" s="52" t="s">
        <v>357</v>
      </c>
      <c r="L54" s="52" t="s">
        <v>10</v>
      </c>
      <c r="M54" s="52" t="s">
        <v>10</v>
      </c>
      <c r="N54" s="52" t="s">
        <v>10</v>
      </c>
      <c r="O54" s="52" t="s">
        <v>10</v>
      </c>
      <c r="P54" s="50">
        <v>363</v>
      </c>
      <c r="Q54" s="50">
        <v>11</v>
      </c>
      <c r="R54" s="54">
        <v>6.8</v>
      </c>
      <c r="S54" s="52" t="s">
        <v>347</v>
      </c>
      <c r="T54" s="74" t="s">
        <v>626</v>
      </c>
      <c r="U54" s="62">
        <v>120</v>
      </c>
    </row>
    <row r="55" spans="1:21" ht="15" customHeight="1">
      <c r="A55" s="63" t="s">
        <v>352</v>
      </c>
      <c r="B55" s="50">
        <v>2013</v>
      </c>
      <c r="C55" s="52" t="s">
        <v>604</v>
      </c>
      <c r="D55" s="52" t="s">
        <v>353</v>
      </c>
      <c r="E55" s="52" t="s">
        <v>354</v>
      </c>
      <c r="F55" s="52" t="s">
        <v>355</v>
      </c>
      <c r="G55" s="52" t="s">
        <v>356</v>
      </c>
      <c r="H55" s="52" t="s">
        <v>22</v>
      </c>
      <c r="I55" s="52" t="s">
        <v>9</v>
      </c>
      <c r="J55" s="52" t="s">
        <v>11</v>
      </c>
      <c r="K55" s="52" t="s">
        <v>357</v>
      </c>
      <c r="L55" s="52" t="s">
        <v>10</v>
      </c>
      <c r="M55" s="52" t="s">
        <v>10</v>
      </c>
      <c r="N55" s="52" t="s">
        <v>10</v>
      </c>
      <c r="O55" s="52" t="s">
        <v>10</v>
      </c>
      <c r="P55" s="50">
        <v>341</v>
      </c>
      <c r="Q55" s="50">
        <v>14</v>
      </c>
      <c r="R55" s="54">
        <v>8.6</v>
      </c>
      <c r="S55" s="52" t="s">
        <v>347</v>
      </c>
      <c r="T55" s="74" t="s">
        <v>626</v>
      </c>
      <c r="U55" s="62">
        <v>120</v>
      </c>
    </row>
    <row r="56" spans="1:21" ht="15" customHeight="1">
      <c r="A56" s="60" t="s">
        <v>352</v>
      </c>
      <c r="B56" s="50">
        <v>2013</v>
      </c>
      <c r="C56" s="52" t="s">
        <v>604</v>
      </c>
      <c r="D56" s="52" t="s">
        <v>353</v>
      </c>
      <c r="E56" s="52" t="s">
        <v>354</v>
      </c>
      <c r="F56" s="52" t="s">
        <v>355</v>
      </c>
      <c r="G56" s="52" t="s">
        <v>356</v>
      </c>
      <c r="H56" s="52" t="s">
        <v>22</v>
      </c>
      <c r="I56" s="52" t="s">
        <v>9</v>
      </c>
      <c r="J56" s="52" t="s">
        <v>16</v>
      </c>
      <c r="K56" s="52" t="s">
        <v>358</v>
      </c>
      <c r="L56" s="52" t="s">
        <v>10</v>
      </c>
      <c r="M56" s="52" t="s">
        <v>10</v>
      </c>
      <c r="N56" s="52" t="s">
        <v>10</v>
      </c>
      <c r="O56" s="52" t="s">
        <v>10</v>
      </c>
      <c r="P56" s="50">
        <f>377+331</f>
        <v>708</v>
      </c>
      <c r="Q56" s="50">
        <f>16+38</f>
        <v>54</v>
      </c>
      <c r="R56" s="54">
        <f>Q56*100/P56</f>
        <v>7.6271186440677967</v>
      </c>
      <c r="S56" s="52" t="s">
        <v>344</v>
      </c>
      <c r="T56" s="52" t="s">
        <v>593</v>
      </c>
      <c r="U56" s="62">
        <v>120</v>
      </c>
    </row>
    <row r="57" spans="1:21" ht="15" customHeight="1">
      <c r="A57" s="60" t="s">
        <v>352</v>
      </c>
      <c r="B57" s="50">
        <v>2013</v>
      </c>
      <c r="C57" s="52" t="s">
        <v>604</v>
      </c>
      <c r="D57" s="52" t="s">
        <v>353</v>
      </c>
      <c r="E57" s="52" t="s">
        <v>354</v>
      </c>
      <c r="F57" s="52" t="s">
        <v>355</v>
      </c>
      <c r="G57" s="52" t="s">
        <v>356</v>
      </c>
      <c r="H57" s="52" t="s">
        <v>22</v>
      </c>
      <c r="I57" s="52" t="s">
        <v>9</v>
      </c>
      <c r="J57" s="52" t="s">
        <v>23</v>
      </c>
      <c r="K57" s="52" t="s">
        <v>358</v>
      </c>
      <c r="L57" s="52" t="s">
        <v>10</v>
      </c>
      <c r="M57" s="52" t="s">
        <v>10</v>
      </c>
      <c r="N57" s="52" t="s">
        <v>10</v>
      </c>
      <c r="O57" s="52" t="s">
        <v>10</v>
      </c>
      <c r="P57" s="50">
        <v>377</v>
      </c>
      <c r="Q57" s="50">
        <v>16</v>
      </c>
      <c r="R57" s="54">
        <v>7.6</v>
      </c>
      <c r="S57" s="52" t="s">
        <v>347</v>
      </c>
      <c r="T57" s="52" t="s">
        <v>593</v>
      </c>
      <c r="U57" s="62">
        <v>120</v>
      </c>
    </row>
    <row r="58" spans="1:21" ht="15" customHeight="1">
      <c r="A58" s="63" t="s">
        <v>352</v>
      </c>
      <c r="B58" s="50">
        <v>2013</v>
      </c>
      <c r="C58" s="52" t="s">
        <v>604</v>
      </c>
      <c r="D58" s="52" t="s">
        <v>353</v>
      </c>
      <c r="E58" s="52" t="s">
        <v>354</v>
      </c>
      <c r="F58" s="52" t="s">
        <v>355</v>
      </c>
      <c r="G58" s="52" t="s">
        <v>356</v>
      </c>
      <c r="H58" s="52" t="s">
        <v>22</v>
      </c>
      <c r="I58" s="52" t="s">
        <v>9</v>
      </c>
      <c r="J58" s="52" t="s">
        <v>11</v>
      </c>
      <c r="K58" s="52" t="s">
        <v>358</v>
      </c>
      <c r="L58" s="52" t="s">
        <v>10</v>
      </c>
      <c r="M58" s="52" t="s">
        <v>10</v>
      </c>
      <c r="N58" s="52" t="s">
        <v>10</v>
      </c>
      <c r="O58" s="52" t="s">
        <v>10</v>
      </c>
      <c r="P58" s="50">
        <v>331</v>
      </c>
      <c r="Q58" s="50">
        <v>38</v>
      </c>
      <c r="R58" s="54">
        <v>19.100000000000001</v>
      </c>
      <c r="S58" s="52" t="s">
        <v>347</v>
      </c>
      <c r="T58" s="52" t="s">
        <v>593</v>
      </c>
      <c r="U58" s="62">
        <v>120</v>
      </c>
    </row>
    <row r="59" spans="1:21" ht="15" customHeight="1">
      <c r="A59" s="60" t="s">
        <v>352</v>
      </c>
      <c r="B59" s="50">
        <v>2013</v>
      </c>
      <c r="C59" s="52" t="s">
        <v>604</v>
      </c>
      <c r="D59" s="52" t="s">
        <v>353</v>
      </c>
      <c r="E59" s="52" t="s">
        <v>354</v>
      </c>
      <c r="F59" s="52" t="s">
        <v>355</v>
      </c>
      <c r="G59" s="52" t="s">
        <v>356</v>
      </c>
      <c r="H59" s="52" t="s">
        <v>22</v>
      </c>
      <c r="I59" s="52" t="s">
        <v>9</v>
      </c>
      <c r="J59" s="52" t="s">
        <v>16</v>
      </c>
      <c r="K59" s="52" t="s">
        <v>359</v>
      </c>
      <c r="L59" s="52" t="s">
        <v>10</v>
      </c>
      <c r="M59" s="52" t="s">
        <v>10</v>
      </c>
      <c r="N59" s="52" t="s">
        <v>10</v>
      </c>
      <c r="O59" s="52" t="s">
        <v>10</v>
      </c>
      <c r="P59" s="50">
        <f>393+330</f>
        <v>723</v>
      </c>
      <c r="Q59" s="50">
        <f>64</f>
        <v>64</v>
      </c>
      <c r="R59" s="54">
        <f>Q59*100/P59</f>
        <v>8.8520055325034583</v>
      </c>
      <c r="S59" s="52" t="s">
        <v>344</v>
      </c>
      <c r="T59" s="52" t="s">
        <v>593</v>
      </c>
      <c r="U59" s="62">
        <v>120</v>
      </c>
    </row>
    <row r="60" spans="1:21" ht="15" customHeight="1">
      <c r="A60" s="60" t="s">
        <v>352</v>
      </c>
      <c r="B60" s="50">
        <v>2013</v>
      </c>
      <c r="C60" s="52" t="s">
        <v>604</v>
      </c>
      <c r="D60" s="52" t="s">
        <v>353</v>
      </c>
      <c r="E60" s="52" t="s">
        <v>354</v>
      </c>
      <c r="F60" s="52" t="s">
        <v>355</v>
      </c>
      <c r="G60" s="52" t="s">
        <v>356</v>
      </c>
      <c r="H60" s="52" t="s">
        <v>22</v>
      </c>
      <c r="I60" s="52" t="s">
        <v>9</v>
      </c>
      <c r="J60" s="52" t="s">
        <v>23</v>
      </c>
      <c r="K60" s="52" t="s">
        <v>359</v>
      </c>
      <c r="L60" s="52" t="s">
        <v>10</v>
      </c>
      <c r="M60" s="52" t="s">
        <v>10</v>
      </c>
      <c r="N60" s="52" t="s">
        <v>10</v>
      </c>
      <c r="O60" s="52" t="s">
        <v>10</v>
      </c>
      <c r="P60" s="50">
        <v>393</v>
      </c>
      <c r="Q60" s="50">
        <v>33</v>
      </c>
      <c r="R60" s="54">
        <v>14.1</v>
      </c>
      <c r="S60" s="52" t="s">
        <v>347</v>
      </c>
      <c r="T60" s="52" t="s">
        <v>593</v>
      </c>
      <c r="U60" s="62">
        <v>120</v>
      </c>
    </row>
    <row r="61" spans="1:21" ht="15" customHeight="1">
      <c r="A61" s="63" t="s">
        <v>352</v>
      </c>
      <c r="B61" s="50">
        <v>2013</v>
      </c>
      <c r="C61" s="52" t="s">
        <v>604</v>
      </c>
      <c r="D61" s="52" t="s">
        <v>353</v>
      </c>
      <c r="E61" s="52" t="s">
        <v>354</v>
      </c>
      <c r="F61" s="52" t="s">
        <v>355</v>
      </c>
      <c r="G61" s="52" t="s">
        <v>356</v>
      </c>
      <c r="H61" s="52" t="s">
        <v>22</v>
      </c>
      <c r="I61" s="52" t="s">
        <v>9</v>
      </c>
      <c r="J61" s="52" t="s">
        <v>11</v>
      </c>
      <c r="K61" s="52" t="s">
        <v>359</v>
      </c>
      <c r="L61" s="52" t="s">
        <v>10</v>
      </c>
      <c r="M61" s="52" t="s">
        <v>10</v>
      </c>
      <c r="N61" s="52" t="s">
        <v>10</v>
      </c>
      <c r="O61" s="52" t="s">
        <v>10</v>
      </c>
      <c r="P61" s="50">
        <v>330</v>
      </c>
      <c r="Q61" s="50">
        <v>31</v>
      </c>
      <c r="R61" s="54">
        <v>15.8</v>
      </c>
      <c r="S61" s="52" t="s">
        <v>347</v>
      </c>
      <c r="T61" s="52" t="s">
        <v>593</v>
      </c>
      <c r="U61" s="62">
        <v>120</v>
      </c>
    </row>
    <row r="62" spans="1:21" ht="15" customHeight="1">
      <c r="A62" s="60" t="s">
        <v>352</v>
      </c>
      <c r="B62" s="50">
        <v>2013</v>
      </c>
      <c r="C62" s="52" t="s">
        <v>604</v>
      </c>
      <c r="D62" s="52" t="s">
        <v>353</v>
      </c>
      <c r="E62" s="52" t="s">
        <v>354</v>
      </c>
      <c r="F62" s="52" t="s">
        <v>355</v>
      </c>
      <c r="G62" s="52" t="s">
        <v>356</v>
      </c>
      <c r="H62" s="52" t="s">
        <v>22</v>
      </c>
      <c r="I62" s="52" t="s">
        <v>9</v>
      </c>
      <c r="J62" s="52" t="s">
        <v>16</v>
      </c>
      <c r="K62" s="52" t="s">
        <v>360</v>
      </c>
      <c r="L62" s="52" t="s">
        <v>10</v>
      </c>
      <c r="M62" s="52" t="s">
        <v>10</v>
      </c>
      <c r="N62" s="52" t="s">
        <v>10</v>
      </c>
      <c r="O62" s="52" t="s">
        <v>10</v>
      </c>
      <c r="P62" s="50">
        <f>358+319</f>
        <v>677</v>
      </c>
      <c r="Q62" s="50">
        <v>24</v>
      </c>
      <c r="R62" s="54">
        <f>Q62*100/P62</f>
        <v>3.5450516986706058</v>
      </c>
      <c r="S62" s="52" t="s">
        <v>344</v>
      </c>
      <c r="T62" s="52" t="s">
        <v>593</v>
      </c>
      <c r="U62" s="62">
        <v>120</v>
      </c>
    </row>
    <row r="63" spans="1:21" ht="15" customHeight="1">
      <c r="A63" s="60" t="s">
        <v>352</v>
      </c>
      <c r="B63" s="50">
        <v>2013</v>
      </c>
      <c r="C63" s="52" t="s">
        <v>604</v>
      </c>
      <c r="D63" s="52" t="s">
        <v>353</v>
      </c>
      <c r="E63" s="52" t="s">
        <v>354</v>
      </c>
      <c r="F63" s="52" t="s">
        <v>355</v>
      </c>
      <c r="G63" s="52" t="s">
        <v>356</v>
      </c>
      <c r="H63" s="52" t="s">
        <v>22</v>
      </c>
      <c r="I63" s="52" t="s">
        <v>9</v>
      </c>
      <c r="J63" s="52" t="s">
        <v>23</v>
      </c>
      <c r="K63" s="52" t="s">
        <v>360</v>
      </c>
      <c r="L63" s="52" t="s">
        <v>10</v>
      </c>
      <c r="M63" s="52" t="s">
        <v>10</v>
      </c>
      <c r="N63" s="52" t="s">
        <v>10</v>
      </c>
      <c r="O63" s="52" t="s">
        <v>10</v>
      </c>
      <c r="P63" s="50">
        <v>358</v>
      </c>
      <c r="Q63" s="50">
        <v>11</v>
      </c>
      <c r="R63" s="54">
        <v>5.0999999999999996</v>
      </c>
      <c r="S63" s="52" t="s">
        <v>347</v>
      </c>
      <c r="T63" s="52" t="s">
        <v>593</v>
      </c>
      <c r="U63" s="62">
        <v>120</v>
      </c>
    </row>
    <row r="64" spans="1:21" ht="15" customHeight="1">
      <c r="A64" s="63" t="s">
        <v>352</v>
      </c>
      <c r="B64" s="50">
        <v>2013</v>
      </c>
      <c r="C64" s="52" t="s">
        <v>604</v>
      </c>
      <c r="D64" s="52" t="s">
        <v>353</v>
      </c>
      <c r="E64" s="52" t="s">
        <v>354</v>
      </c>
      <c r="F64" s="52" t="s">
        <v>355</v>
      </c>
      <c r="G64" s="52" t="s">
        <v>356</v>
      </c>
      <c r="H64" s="52" t="s">
        <v>22</v>
      </c>
      <c r="I64" s="52" t="s">
        <v>9</v>
      </c>
      <c r="J64" s="52" t="s">
        <v>11</v>
      </c>
      <c r="K64" s="52" t="s">
        <v>360</v>
      </c>
      <c r="L64" s="52" t="s">
        <v>10</v>
      </c>
      <c r="M64" s="52" t="s">
        <v>10</v>
      </c>
      <c r="N64" s="52" t="s">
        <v>10</v>
      </c>
      <c r="O64" s="52" t="s">
        <v>10</v>
      </c>
      <c r="P64" s="50">
        <v>319</v>
      </c>
      <c r="Q64" s="50">
        <v>13</v>
      </c>
      <c r="R64" s="54">
        <v>6.8</v>
      </c>
      <c r="S64" s="52" t="s">
        <v>347</v>
      </c>
      <c r="T64" s="52" t="s">
        <v>593</v>
      </c>
      <c r="U64" s="62">
        <v>120</v>
      </c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7694C-FD20-478C-AC3B-0FD707B320A1}">
  <dimension ref="A1:A3"/>
  <sheetViews>
    <sheetView zoomScale="85" zoomScaleNormal="85" workbookViewId="0">
      <selection activeCell="A4" sqref="A4"/>
    </sheetView>
  </sheetViews>
  <sheetFormatPr defaultRowHeight="14.5"/>
  <sheetData>
    <row r="1" spans="1:1">
      <c r="A1" s="79" t="s">
        <v>634</v>
      </c>
    </row>
    <row r="2" spans="1:1">
      <c r="A2" s="79" t="s">
        <v>635</v>
      </c>
    </row>
    <row r="3" spans="1:1">
      <c r="A3" s="79" t="s">
        <v>633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Prevalence</vt:lpstr>
      <vt:lpstr>Incidence</vt:lpstr>
      <vt:lpstr>read 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Katharine Looker</dc:creator>
  <cp:lastModifiedBy>Katharine Looker</cp:lastModifiedBy>
  <dcterms:created xsi:type="dcterms:W3CDTF">2018-11-20T11:40:25Z</dcterms:created>
  <dcterms:modified xsi:type="dcterms:W3CDTF">2020-02-05T10:20:54Z</dcterms:modified>
</cp:coreProperties>
</file>